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240" yWindow="135" windowWidth="8460" windowHeight="11640" tabRatio="719"/>
  </bookViews>
  <sheets>
    <sheet name="Doc" sheetId="101" r:id="rId1"/>
    <sheet name="Multi-Level Bldg." sheetId="171" r:id="rId2"/>
    <sheet name="Multi-Level Bldg. (Drift)" sheetId="172" r:id="rId3"/>
    <sheet name="Vert. Tank or Vessel" sheetId="175" r:id="rId4"/>
    <sheet name="Nonbldg. Struct." sheetId="176" r:id="rId5"/>
    <sheet name="Arch. Components" sheetId="177" r:id="rId6"/>
    <sheet name="M &amp; E Components" sheetId="178" r:id="rId7"/>
    <sheet name="ASCE 7-10 Maps for TL" sheetId="174" r:id="rId8"/>
  </sheets>
  <definedNames>
    <definedName name="_xlnm.Print_Area" localSheetId="5">'Arch. Components'!$A$1:$I$54</definedName>
    <definedName name="_xlnm.Print_Area" localSheetId="0">Doc!$A$1:$J$96</definedName>
    <definedName name="_xlnm.Print_Area" localSheetId="6">'M &amp; E Components'!$A$1:$W$56</definedName>
    <definedName name="_xlnm.Print_Area" localSheetId="1">'Multi-Level Bldg.'!$A$1:$I$112</definedName>
    <definedName name="_xlnm.Print_Area" localSheetId="2">'Multi-Level Bldg. (Drift)'!$A$1:$I$116</definedName>
    <definedName name="_xlnm.Print_Area" localSheetId="4">'Nonbldg. Struct.'!$A$1:$I$59</definedName>
    <definedName name="_xlnm.Print_Area" localSheetId="3">'Vert. Tank or Vessel'!$A$1:$AG$112</definedName>
  </definedNames>
  <calcPr calcId="145621"/>
</workbook>
</file>

<file path=xl/calcChain.xml><?xml version="1.0" encoding="utf-8"?>
<calcChain xmlns="http://schemas.openxmlformats.org/spreadsheetml/2006/main">
  <c r="R20" i="175" l="1"/>
  <c r="R19" i="175"/>
  <c r="R18" i="175"/>
  <c r="R20" i="178" l="1"/>
  <c r="R19" i="178"/>
  <c r="R18" i="178"/>
  <c r="R10" i="178"/>
  <c r="R9" i="178"/>
  <c r="R8" i="178"/>
  <c r="R9" i="177"/>
  <c r="E65" i="175" l="1"/>
  <c r="AE17" i="175"/>
  <c r="AD17" i="175"/>
  <c r="AA18" i="175" s="1"/>
  <c r="AC17" i="175"/>
  <c r="AB17" i="175"/>
  <c r="AA17" i="175"/>
  <c r="Z17" i="175"/>
  <c r="Z18" i="175" s="1"/>
  <c r="AF18" i="175" s="1"/>
  <c r="Y17" i="175"/>
  <c r="X17" i="175"/>
  <c r="W17" i="175"/>
  <c r="V17" i="175"/>
  <c r="U17" i="175"/>
  <c r="T17" i="175"/>
  <c r="R10" i="175"/>
  <c r="R9" i="175"/>
  <c r="R8" i="175"/>
  <c r="P41" i="175"/>
  <c r="P42" i="175" s="1"/>
  <c r="P43" i="175" s="1"/>
  <c r="P32" i="175"/>
  <c r="O56" i="175"/>
  <c r="P60" i="175"/>
  <c r="P59" i="175"/>
  <c r="P61" i="175" s="1"/>
  <c r="C73" i="175"/>
  <c r="C70" i="175"/>
  <c r="C69" i="175"/>
  <c r="C63" i="175"/>
  <c r="C62" i="175"/>
  <c r="C61" i="175"/>
  <c r="C60" i="175"/>
  <c r="C65" i="175" s="1"/>
  <c r="D27" i="175"/>
  <c r="D18" i="176"/>
  <c r="D11" i="175"/>
  <c r="D51" i="176"/>
  <c r="D50" i="176"/>
  <c r="D49" i="176"/>
  <c r="D54" i="176"/>
  <c r="D53" i="176"/>
  <c r="D11" i="176"/>
  <c r="Y18" i="175" l="1"/>
  <c r="AB18" i="175"/>
  <c r="AC18" i="175"/>
  <c r="C64" i="175"/>
  <c r="C100" i="175"/>
  <c r="C96" i="175"/>
  <c r="C77" i="175"/>
  <c r="C78" i="175" s="1"/>
  <c r="C99" i="175"/>
  <c r="C95" i="175"/>
  <c r="C80" i="175"/>
  <c r="C102" i="175" s="1"/>
  <c r="C98" i="175"/>
  <c r="C101" i="175" s="1"/>
  <c r="C84" i="175"/>
  <c r="C79" i="175"/>
  <c r="C97" i="175"/>
  <c r="C83" i="175"/>
  <c r="AK1" i="171"/>
  <c r="AK1" i="172"/>
  <c r="AH1" i="175"/>
  <c r="AG1" i="176"/>
  <c r="AA1" i="178"/>
  <c r="AA1" i="177"/>
  <c r="C81" i="175" l="1"/>
  <c r="C85" i="175" s="1"/>
  <c r="C86" i="175" s="1"/>
  <c r="C92" i="175"/>
  <c r="C105" i="175"/>
  <c r="C106" i="175"/>
  <c r="C91" i="175"/>
  <c r="C82" i="175"/>
  <c r="C87" i="175" s="1"/>
  <c r="C88" i="175" s="1"/>
  <c r="C90" i="175" s="1"/>
  <c r="D17" i="178"/>
  <c r="C25" i="178"/>
  <c r="C29" i="178" s="1"/>
  <c r="C33" i="178" s="1"/>
  <c r="N41" i="178" s="1"/>
  <c r="C24" i="178"/>
  <c r="C28" i="178" s="1"/>
  <c r="C32" i="178" s="1"/>
  <c r="N32" i="178" s="1"/>
  <c r="C36" i="178" s="1"/>
  <c r="P32" i="178" s="1"/>
  <c r="D10" i="177"/>
  <c r="D17" i="177"/>
  <c r="M23" i="177"/>
  <c r="O41" i="177" s="1"/>
  <c r="R20" i="177"/>
  <c r="R19" i="177"/>
  <c r="C23" i="177" s="1"/>
  <c r="C27" i="177" s="1"/>
  <c r="C31" i="177" s="1"/>
  <c r="R18" i="177"/>
  <c r="R10" i="177"/>
  <c r="C22" i="177"/>
  <c r="C26" i="177" s="1"/>
  <c r="C30" i="177" s="1"/>
  <c r="R8" i="177"/>
  <c r="C41" i="176"/>
  <c r="C40" i="176"/>
  <c r="C42" i="176" s="1"/>
  <c r="AE80" i="176"/>
  <c r="AC80" i="176"/>
  <c r="AB80" i="176"/>
  <c r="AA80" i="176"/>
  <c r="Z80" i="176"/>
  <c r="Y80" i="176"/>
  <c r="X80" i="176"/>
  <c r="W80" i="176"/>
  <c r="V80" i="176"/>
  <c r="U80" i="176"/>
  <c r="T80" i="176"/>
  <c r="M23" i="176"/>
  <c r="R20" i="176"/>
  <c r="R19" i="176"/>
  <c r="C24" i="176" s="1"/>
  <c r="C28" i="176" s="1"/>
  <c r="C32" i="176" s="1"/>
  <c r="R18" i="176"/>
  <c r="R10" i="176"/>
  <c r="R9" i="176"/>
  <c r="C23" i="176" s="1"/>
  <c r="C27" i="176" s="1"/>
  <c r="C31" i="176" s="1"/>
  <c r="R8" i="176"/>
  <c r="C103" i="175" l="1"/>
  <c r="C104" i="175"/>
  <c r="C89" i="175"/>
  <c r="M32" i="177"/>
  <c r="N41" i="177"/>
  <c r="C35" i="177" s="1"/>
  <c r="P41" i="177" s="1"/>
  <c r="N32" i="177"/>
  <c r="C34" i="177" s="1"/>
  <c r="M41" i="177"/>
  <c r="O32" i="177"/>
  <c r="O56" i="176"/>
  <c r="C43" i="176" s="1"/>
  <c r="C44" i="176" s="1"/>
  <c r="C45" i="176" s="1"/>
  <c r="M41" i="176"/>
  <c r="C36" i="176" s="1"/>
  <c r="P41" i="176" s="1"/>
  <c r="N32" i="176"/>
  <c r="N41" i="176"/>
  <c r="O32" i="176"/>
  <c r="O41" i="176"/>
  <c r="M32" i="176"/>
  <c r="C35" i="176" s="1"/>
  <c r="E27" i="172"/>
  <c r="E28" i="172"/>
  <c r="E29" i="172"/>
  <c r="E30" i="172"/>
  <c r="E31" i="172"/>
  <c r="E32" i="172"/>
  <c r="E33" i="172"/>
  <c r="E34" i="172"/>
  <c r="E35" i="172"/>
  <c r="E36" i="172"/>
  <c r="E37" i="172"/>
  <c r="E38" i="172"/>
  <c r="P32" i="177" l="1"/>
  <c r="P42" i="177" s="1"/>
  <c r="P43" i="177" s="1"/>
  <c r="C36" i="177" s="1"/>
  <c r="C46" i="176"/>
  <c r="E58" i="176"/>
  <c r="P32" i="176"/>
  <c r="P42" i="176" s="1"/>
  <c r="P43" i="176" s="1"/>
  <c r="C37" i="176" s="1"/>
  <c r="M23" i="178"/>
  <c r="C9" i="176"/>
  <c r="E25" i="175"/>
  <c r="E24" i="175"/>
  <c r="M23" i="175"/>
  <c r="E23" i="175"/>
  <c r="BM90" i="171"/>
  <c r="BN90" i="171"/>
  <c r="BO90" i="171"/>
  <c r="BP90" i="171"/>
  <c r="BL90" i="171"/>
  <c r="BL67" i="171"/>
  <c r="BM54" i="171"/>
  <c r="BN54" i="171"/>
  <c r="BO54" i="171"/>
  <c r="BP54" i="171"/>
  <c r="BL54" i="171"/>
  <c r="C49" i="177" l="1"/>
  <c r="C40" i="177"/>
  <c r="C45" i="177"/>
  <c r="C39" i="177"/>
  <c r="C44" i="177"/>
  <c r="C37" i="178"/>
  <c r="P41" i="178" s="1"/>
  <c r="AD80" i="176"/>
  <c r="C50" i="176"/>
  <c r="C51" i="176"/>
  <c r="C49" i="176"/>
  <c r="C52" i="176" s="1"/>
  <c r="G74" i="172"/>
  <c r="H85" i="172"/>
  <c r="H84" i="172"/>
  <c r="H83" i="172"/>
  <c r="H82" i="172"/>
  <c r="H81" i="172"/>
  <c r="H80" i="172"/>
  <c r="H79" i="172"/>
  <c r="H78" i="172"/>
  <c r="H77" i="172"/>
  <c r="H76" i="172"/>
  <c r="H75" i="172"/>
  <c r="H74" i="172"/>
  <c r="U104" i="172"/>
  <c r="AB104" i="172"/>
  <c r="AF104" i="172"/>
  <c r="AD104" i="172"/>
  <c r="AC104" i="172"/>
  <c r="AA104" i="172"/>
  <c r="Z104" i="172"/>
  <c r="Y104" i="172"/>
  <c r="X104" i="172"/>
  <c r="W104" i="172"/>
  <c r="V104" i="172"/>
  <c r="W103" i="171"/>
  <c r="M23" i="172"/>
  <c r="D15" i="172"/>
  <c r="D77" i="171"/>
  <c r="D69" i="171"/>
  <c r="C64" i="171"/>
  <c r="D42" i="171"/>
  <c r="Y103" i="171"/>
  <c r="V103" i="171"/>
  <c r="D17" i="171"/>
  <c r="C43" i="177" l="1"/>
  <c r="C46" i="177" s="1"/>
  <c r="C38" i="178"/>
  <c r="C41" i="178" s="1"/>
  <c r="C54" i="176"/>
  <c r="C53" i="176"/>
  <c r="AC81" i="176"/>
  <c r="Y81" i="176"/>
  <c r="AB81" i="176"/>
  <c r="Z81" i="176"/>
  <c r="AA81" i="176"/>
  <c r="R8" i="172"/>
  <c r="C9" i="172"/>
  <c r="R9" i="172"/>
  <c r="C43" i="172" s="1"/>
  <c r="R10" i="172"/>
  <c r="D11" i="172"/>
  <c r="R18" i="172"/>
  <c r="R19" i="172"/>
  <c r="R20" i="172"/>
  <c r="B24" i="172"/>
  <c r="B25" i="172"/>
  <c r="B72" i="172" s="1"/>
  <c r="B26" i="172"/>
  <c r="B27" i="172"/>
  <c r="B74" i="172" s="1"/>
  <c r="B28" i="172"/>
  <c r="B29" i="172"/>
  <c r="B30" i="172"/>
  <c r="B31" i="172"/>
  <c r="B32" i="172"/>
  <c r="N32" i="172"/>
  <c r="B33" i="172"/>
  <c r="B80" i="172" s="1"/>
  <c r="B34" i="172"/>
  <c r="B81" i="172" s="1"/>
  <c r="B35" i="172"/>
  <c r="B82" i="172" s="1"/>
  <c r="B36" i="172"/>
  <c r="B37" i="172"/>
  <c r="B84" i="172" s="1"/>
  <c r="D84" i="172" s="1"/>
  <c r="B38" i="172"/>
  <c r="B85" i="172" s="1"/>
  <c r="O41" i="172"/>
  <c r="C44" i="172"/>
  <c r="C48" i="172" s="1"/>
  <c r="C52" i="172" s="1"/>
  <c r="B71" i="172"/>
  <c r="H71" i="172" s="1"/>
  <c r="C71" i="172"/>
  <c r="B73" i="172"/>
  <c r="H73" i="172" s="1"/>
  <c r="C73" i="172"/>
  <c r="E74" i="172"/>
  <c r="F74" i="172"/>
  <c r="B75" i="172"/>
  <c r="C75" i="172" s="1"/>
  <c r="E75" i="172"/>
  <c r="F75" i="172"/>
  <c r="G75" i="172"/>
  <c r="B76" i="172"/>
  <c r="C76" i="172" s="1"/>
  <c r="E76" i="172"/>
  <c r="F76" i="172"/>
  <c r="G76" i="172"/>
  <c r="B77" i="172"/>
  <c r="C77" i="172" s="1"/>
  <c r="E77" i="172"/>
  <c r="F77" i="172"/>
  <c r="G77" i="172"/>
  <c r="B78" i="172"/>
  <c r="C78" i="172" s="1"/>
  <c r="E78" i="172"/>
  <c r="F78" i="172"/>
  <c r="G78" i="172"/>
  <c r="B79" i="172"/>
  <c r="C79" i="172" s="1"/>
  <c r="D79" i="172"/>
  <c r="E79" i="172"/>
  <c r="F79" i="172"/>
  <c r="G79" i="172"/>
  <c r="E80" i="172"/>
  <c r="F80" i="172"/>
  <c r="G80" i="172"/>
  <c r="E81" i="172"/>
  <c r="F81" i="172"/>
  <c r="G81" i="172"/>
  <c r="E82" i="172"/>
  <c r="F82" i="172"/>
  <c r="G82" i="172"/>
  <c r="B83" i="172"/>
  <c r="C83" i="172" s="1"/>
  <c r="E83" i="172"/>
  <c r="F83" i="172"/>
  <c r="G83" i="172"/>
  <c r="E84" i="172"/>
  <c r="F84" i="172"/>
  <c r="G84" i="172"/>
  <c r="E85" i="172"/>
  <c r="F85" i="172"/>
  <c r="G85" i="172"/>
  <c r="T104" i="172"/>
  <c r="R8" i="171"/>
  <c r="C9" i="171"/>
  <c r="R9" i="171"/>
  <c r="C46" i="171" s="1"/>
  <c r="R10" i="171"/>
  <c r="D11" i="171"/>
  <c r="R18" i="171"/>
  <c r="R19" i="171"/>
  <c r="R20" i="171"/>
  <c r="M23" i="171"/>
  <c r="O32" i="171" s="1"/>
  <c r="B26" i="171"/>
  <c r="B91" i="171" s="1"/>
  <c r="B27" i="171"/>
  <c r="B28" i="171"/>
  <c r="B93" i="171" s="1"/>
  <c r="C93" i="171" s="1"/>
  <c r="B29" i="171"/>
  <c r="B30" i="171"/>
  <c r="B95" i="171" s="1"/>
  <c r="C95" i="171" s="1"/>
  <c r="B31" i="171"/>
  <c r="B96" i="171" s="1"/>
  <c r="C96" i="171" s="1"/>
  <c r="B32" i="171"/>
  <c r="B97" i="171" s="1"/>
  <c r="C97" i="171" s="1"/>
  <c r="B33" i="171"/>
  <c r="B98" i="171" s="1"/>
  <c r="C98" i="171" s="1"/>
  <c r="B34" i="171"/>
  <c r="B99" i="171" s="1"/>
  <c r="C99" i="171" s="1"/>
  <c r="B35" i="171"/>
  <c r="B100" i="171" s="1"/>
  <c r="C100" i="171" s="1"/>
  <c r="B36" i="171"/>
  <c r="B101" i="171" s="1"/>
  <c r="C101" i="171" s="1"/>
  <c r="B37" i="171"/>
  <c r="B102" i="171" s="1"/>
  <c r="C102" i="171" s="1"/>
  <c r="B38" i="171"/>
  <c r="B103" i="171" s="1"/>
  <c r="C103" i="171" s="1"/>
  <c r="B39" i="171"/>
  <c r="B104" i="171" s="1"/>
  <c r="C104" i="171" s="1"/>
  <c r="B40" i="171"/>
  <c r="B105" i="171" s="1"/>
  <c r="C105" i="171" s="1"/>
  <c r="C47" i="171"/>
  <c r="C51" i="171" s="1"/>
  <c r="C55" i="171" s="1"/>
  <c r="O56" i="171" s="1"/>
  <c r="C67" i="171" s="1"/>
  <c r="C65" i="171"/>
  <c r="C91" i="171"/>
  <c r="B92" i="171"/>
  <c r="C92" i="171" s="1"/>
  <c r="B94" i="171"/>
  <c r="C94" i="171" s="1"/>
  <c r="T103" i="171"/>
  <c r="U103" i="171"/>
  <c r="X103" i="171"/>
  <c r="Z103" i="171"/>
  <c r="AA103" i="171"/>
  <c r="AB103" i="171"/>
  <c r="AC103" i="171"/>
  <c r="AD103" i="171"/>
  <c r="AF103" i="171"/>
  <c r="N41" i="172"/>
  <c r="O32" i="172"/>
  <c r="C42" i="178" l="1"/>
  <c r="C45" i="178" s="1"/>
  <c r="C46" i="178"/>
  <c r="C51" i="178"/>
  <c r="C47" i="178"/>
  <c r="C80" i="172"/>
  <c r="D80" i="172"/>
  <c r="D75" i="172"/>
  <c r="C55" i="176"/>
  <c r="C58" i="176" s="1"/>
  <c r="D77" i="172"/>
  <c r="AF81" i="176"/>
  <c r="G71" i="172"/>
  <c r="E24" i="172" s="1"/>
  <c r="C81" i="172"/>
  <c r="D81" i="172"/>
  <c r="A45" i="172"/>
  <c r="C47" i="172"/>
  <c r="C51" i="172" s="1"/>
  <c r="O56" i="172"/>
  <c r="M41" i="172"/>
  <c r="C56" i="172" s="1"/>
  <c r="P41" i="172" s="1"/>
  <c r="D74" i="172"/>
  <c r="C74" i="172"/>
  <c r="D82" i="172"/>
  <c r="C82" i="172"/>
  <c r="H72" i="172"/>
  <c r="G72" i="172" s="1"/>
  <c r="E25" i="172" s="1"/>
  <c r="C72" i="172"/>
  <c r="D85" i="172"/>
  <c r="C85" i="172"/>
  <c r="C84" i="172"/>
  <c r="D83" i="172"/>
  <c r="D78" i="172"/>
  <c r="D76" i="172"/>
  <c r="G73" i="172"/>
  <c r="E26" i="172" s="1"/>
  <c r="C106" i="171"/>
  <c r="C50" i="171"/>
  <c r="C54" i="171" s="1"/>
  <c r="M32" i="171" s="1"/>
  <c r="A48" i="171"/>
  <c r="C66" i="171"/>
  <c r="M41" i="171"/>
  <c r="N41" i="171"/>
  <c r="O41" i="171"/>
  <c r="C48" i="178" l="1"/>
  <c r="N32" i="171"/>
  <c r="C59" i="171" s="1"/>
  <c r="P32" i="171" s="1"/>
  <c r="M32" i="172"/>
  <c r="C55" i="172" s="1"/>
  <c r="C68" i="171"/>
  <c r="C69" i="171" s="1"/>
  <c r="D76" i="171" s="1"/>
  <c r="C60" i="171"/>
  <c r="P41" i="171" s="1"/>
  <c r="P32" i="172" l="1"/>
  <c r="P42" i="172" s="1"/>
  <c r="P43" i="172" s="1"/>
  <c r="C57" i="172" s="1"/>
  <c r="E29" i="171"/>
  <c r="E28" i="171"/>
  <c r="P42" i="171"/>
  <c r="P43" i="171" s="1"/>
  <c r="C61" i="171" s="1"/>
  <c r="AE104" i="172" l="1"/>
  <c r="C61" i="172"/>
  <c r="H96" i="171"/>
  <c r="C72" i="171"/>
  <c r="C75" i="171" s="1"/>
  <c r="H101" i="171"/>
  <c r="H105" i="171"/>
  <c r="F98" i="171"/>
  <c r="F101" i="171"/>
  <c r="E101" i="171"/>
  <c r="E96" i="171"/>
  <c r="G101" i="171"/>
  <c r="G105" i="171"/>
  <c r="D95" i="171"/>
  <c r="G103" i="171"/>
  <c r="G98" i="171"/>
  <c r="E104" i="171"/>
  <c r="D100" i="171"/>
  <c r="D96" i="171"/>
  <c r="D104" i="171"/>
  <c r="E98" i="171"/>
  <c r="G104" i="171"/>
  <c r="D98" i="171"/>
  <c r="F99" i="171"/>
  <c r="E105" i="171"/>
  <c r="D102" i="171"/>
  <c r="E100" i="171"/>
  <c r="H97" i="171"/>
  <c r="F95" i="171"/>
  <c r="D105" i="171"/>
  <c r="G102" i="171"/>
  <c r="H100" i="171"/>
  <c r="E99" i="171"/>
  <c r="G97" i="171"/>
  <c r="E95" i="171"/>
  <c r="C74" i="171"/>
  <c r="H104" i="171"/>
  <c r="F102" i="171"/>
  <c r="H99" i="171"/>
  <c r="G96" i="171"/>
  <c r="C73" i="171"/>
  <c r="D103" i="171"/>
  <c r="G99" i="171"/>
  <c r="F96" i="171"/>
  <c r="D84" i="171"/>
  <c r="D91" i="171" s="1"/>
  <c r="E91" i="171" s="1"/>
  <c r="H102" i="171"/>
  <c r="F103" i="171"/>
  <c r="E103" i="171"/>
  <c r="AE103" i="171"/>
  <c r="Y104" i="171" s="1"/>
  <c r="G100" i="171"/>
  <c r="D99" i="171"/>
  <c r="F97" i="171"/>
  <c r="H95" i="171"/>
  <c r="F105" i="171"/>
  <c r="H103" i="171"/>
  <c r="E102" i="171"/>
  <c r="F100" i="171"/>
  <c r="H98" i="171"/>
  <c r="E97" i="171"/>
  <c r="G95" i="171"/>
  <c r="F104" i="171"/>
  <c r="D101" i="171"/>
  <c r="D97" i="171"/>
  <c r="D94" i="171" l="1"/>
  <c r="E94" i="171" s="1"/>
  <c r="D93" i="171"/>
  <c r="E93" i="171" s="1"/>
  <c r="D92" i="171"/>
  <c r="E92" i="171" s="1"/>
  <c r="C77" i="171"/>
  <c r="AC104" i="171"/>
  <c r="AB104" i="171"/>
  <c r="Z104" i="171"/>
  <c r="D71" i="172"/>
  <c r="D73" i="172"/>
  <c r="E73" i="172" s="1"/>
  <c r="F73" i="172" s="1"/>
  <c r="D72" i="172"/>
  <c r="AA104" i="171"/>
  <c r="AB105" i="172"/>
  <c r="Y105" i="172"/>
  <c r="AA105" i="172"/>
  <c r="AC105" i="172"/>
  <c r="Z105" i="172"/>
  <c r="AG105" i="172" s="1"/>
  <c r="C76" i="171"/>
  <c r="E106" i="171" l="1"/>
  <c r="F92" i="171" s="1"/>
  <c r="E72" i="172"/>
  <c r="F72" i="172" s="1"/>
  <c r="E71" i="172"/>
  <c r="F71" i="172" s="1"/>
  <c r="AG104" i="171"/>
  <c r="E27" i="171" s="1"/>
  <c r="F25" i="172"/>
  <c r="F24" i="172"/>
  <c r="F93" i="171"/>
  <c r="C78" i="171"/>
  <c r="C81" i="171" s="1"/>
  <c r="G21" i="171" s="1"/>
  <c r="F91" i="171" l="1"/>
  <c r="F94" i="171"/>
  <c r="G93" i="171"/>
  <c r="G94" i="171"/>
  <c r="G92" i="171"/>
  <c r="E26" i="171"/>
  <c r="F106" i="171"/>
  <c r="G91" i="171"/>
  <c r="G106" i="171" l="1"/>
  <c r="H91" i="171"/>
  <c r="H92" i="171" s="1"/>
  <c r="H93" i="171" s="1"/>
  <c r="H94" i="171" s="1"/>
</calcChain>
</file>

<file path=xl/comments1.xml><?xml version="1.0" encoding="utf-8"?>
<comments xmlns="http://schemas.openxmlformats.org/spreadsheetml/2006/main">
  <authors>
    <author>David Taylor</author>
    <author>Alex Tomanovich</author>
    <author xml:space="preserve"> </author>
    <author>Alex Tomanovich, P.E.</author>
  </authors>
  <commentList>
    <comment ref="AK1" authorId="0">
      <text>
        <r>
          <rPr>
            <b/>
            <sz val="9"/>
            <color indexed="81"/>
            <rFont val="Tahoma"/>
            <family val="2"/>
          </rPr>
          <t xml:space="preserve">"ASCE710E.xls"
</t>
        </r>
        <r>
          <rPr>
            <sz val="9"/>
            <color indexed="81"/>
            <rFont val="Tahoma"/>
            <family val="2"/>
          </rPr>
          <t>Original version</t>
        </r>
        <r>
          <rPr>
            <b/>
            <sz val="9"/>
            <color indexed="81"/>
            <rFont val="Tahoma"/>
            <family val="2"/>
          </rPr>
          <t xml:space="preserve"> </t>
        </r>
        <r>
          <rPr>
            <sz val="9"/>
            <color indexed="81"/>
            <rFont val="Tahoma"/>
            <family val="2"/>
          </rPr>
          <t>("IBC2009E.xls")</t>
        </r>
        <r>
          <rPr>
            <b/>
            <sz val="9"/>
            <color indexed="81"/>
            <rFont val="Tahoma"/>
            <family val="2"/>
          </rPr>
          <t xml:space="preserve"> </t>
        </r>
        <r>
          <rPr>
            <sz val="9"/>
            <color indexed="81"/>
            <rFont val="Tahoma"/>
            <family val="2"/>
          </rPr>
          <t>written by:  Alex Tomanovich, P.E.
Modified by: William Fultz, P.E.</t>
        </r>
      </text>
    </comment>
    <comment ref="C8" authorId="1">
      <text>
        <r>
          <rPr>
            <b/>
            <sz val="8"/>
            <color indexed="81"/>
            <rFont val="Tahoma"/>
            <family val="2"/>
          </rPr>
          <t xml:space="preserve">                                                                        IBC 2012 TABLE 1604.5</t>
        </r>
        <r>
          <rPr>
            <b/>
            <u/>
            <sz val="8"/>
            <color indexed="81"/>
            <rFont val="Tahoma"/>
            <family val="2"/>
          </rPr>
          <t xml:space="preserve">
                                         Risk Category of Buildings and Other Structures                                                      </t>
        </r>
        <r>
          <rPr>
            <sz val="8"/>
            <color indexed="81"/>
            <rFont val="Tahoma"/>
            <family val="2"/>
          </rPr>
          <t xml:space="preserve">                                                                                                     
</t>
        </r>
        <r>
          <rPr>
            <b/>
            <u/>
            <sz val="8"/>
            <color indexed="81"/>
            <rFont val="Tahoma"/>
            <family val="2"/>
          </rPr>
          <t>Nature of Occupancy                                                                                                                      Risk Category</t>
        </r>
        <r>
          <rPr>
            <sz val="8"/>
            <color indexed="81"/>
            <rFont val="Tahoma"/>
            <family val="2"/>
          </rPr>
          <t xml:space="preserve">
Buildings and structures that represent a low hazard to human life in the event of failure                                    I
including, but not limited to:
     - Agriculture facilities.                                                                                                             
     - Certain temporary facilities.
</t>
        </r>
        <r>
          <rPr>
            <u/>
            <sz val="8"/>
            <color indexed="81"/>
            <rFont val="Tahoma"/>
            <family val="2"/>
          </rPr>
          <t xml:space="preserve">     - Minor storage facilities.                                                                                                                                                         </t>
        </r>
        <r>
          <rPr>
            <sz val="8"/>
            <color indexed="81"/>
            <rFont val="Tahoma"/>
            <family val="2"/>
          </rPr>
          <t xml:space="preserve">       
</t>
        </r>
        <r>
          <rPr>
            <u/>
            <sz val="8"/>
            <color indexed="81"/>
            <rFont val="Tahoma"/>
            <family val="2"/>
          </rPr>
          <t xml:space="preserve">Buildings and other structures except those listed in Occupancy Categories I, III and IV                                     II                 </t>
        </r>
        <r>
          <rPr>
            <sz val="8"/>
            <color indexed="81"/>
            <rFont val="Tahoma"/>
            <family val="2"/>
          </rPr>
          <t xml:space="preserve">
Buildings and other structures that represent a substantial hazard to human life in the event of                        III      
failure, including but not limited to:
     - Buildings and other structures whose primary occupancy is public assembly with an 
       occupant load greater that 300.
     - Buildings and other structures containing elementary school, secondary school or day care
       facilities with and occupant load greater than 250.
     - Buildings and other structures containing adult education facilities, such as colleges and
       universities, with an occupant load greater than 500.
     - Group I-2 occupancies with an occupant load of 50 or more resident patients but not 
       having surgery or emergency treatment facilities.
     - Group I-3 occupancies.
     - Any other occupancy with an occupant load greater than 5,000 (a).
     - Power-generating stations, water treatment facilities for potable water, waste water 
       treatment facilities and other public utility facilities not included in Occupancy Category IV.
     - Buildings and other structures not included in Occupancy Category IV containing sufficient 
</t>
        </r>
        <r>
          <rPr>
            <u/>
            <sz val="8"/>
            <color indexed="81"/>
            <rFont val="Tahoma"/>
            <family val="2"/>
          </rPr>
          <t xml:space="preserve">       quantities of toxic or explosive substances to be dangerous to the public if released.                                                       </t>
        </r>
        <r>
          <rPr>
            <sz val="8"/>
            <color indexed="81"/>
            <rFont val="Tahoma"/>
            <family val="2"/>
          </rPr>
          <t xml:space="preserve">  </t>
        </r>
        <r>
          <rPr>
            <u/>
            <sz val="8"/>
            <color indexed="81"/>
            <rFont val="Tahoma"/>
            <family val="2"/>
          </rPr>
          <t xml:space="preserve">               </t>
        </r>
        <r>
          <rPr>
            <sz val="8"/>
            <color indexed="81"/>
            <rFont val="Tahoma"/>
            <family val="2"/>
          </rPr>
          <t xml:space="preserve">
Buildings and other structures designated as essential facilities, including but not limited to:                               IV
     - Group I-2 occupancies having surgery or emergency treatment facilities.
     - Fire, rescue, ambulance and police stations and emergency vehicle garages.
     - Designated earthquake, hurricane or other emergency shelters.
     - Designated emergency preparedness, communications and operations centers and other
       other facilities required for emergency response. 
     - Power-generating stations and other public utility facilities required as emergency backup 
       facilities for Occupancy Category IV structures.
     - Structures containing highly toxic materials as defined by Section 307 where the quantity 
       of the material exceeds the maximum allowable quantities of Table 307.1(2).
     - Aviation control towers, air traffic control centers and emergency aircraft hangars.
     - Buildings and other structures having critical national defense functions.
     - Water storage facilities and pump structures required to maintain water pressure for fire </t>
        </r>
        <r>
          <rPr>
            <u/>
            <sz val="8"/>
            <color indexed="81"/>
            <rFont val="Tahoma"/>
            <family val="2"/>
          </rPr>
          <t xml:space="preserve">
       suppression.                                                                                                                                                                          
</t>
        </r>
        <r>
          <rPr>
            <sz val="8"/>
            <color indexed="81"/>
            <rFont val="Tahoma"/>
            <family val="2"/>
          </rPr>
          <t>(a) For purposes of occupant load calculation,occupancies required by Table 1004.1.1 to use gross floor 
       area calculations shall be permitted to use net floor areas to determine the total occupant load.</t>
        </r>
      </text>
    </comment>
    <comment ref="C9" authorId="2">
      <text>
        <r>
          <rPr>
            <b/>
            <sz val="8"/>
            <color indexed="81"/>
            <rFont val="Tahoma"/>
            <family val="2"/>
          </rPr>
          <t xml:space="preserve">             ASCE 7-10 TABLE 1.5-1 
</t>
        </r>
        <r>
          <rPr>
            <b/>
            <u/>
            <sz val="8"/>
            <color indexed="81"/>
            <rFont val="Tahoma"/>
            <family val="2"/>
          </rPr>
          <t xml:space="preserve">              IMPORTANCE FACTORS                 </t>
        </r>
        <r>
          <rPr>
            <b/>
            <sz val="8"/>
            <color indexed="81"/>
            <rFont val="Tahoma"/>
            <family val="2"/>
          </rPr>
          <t xml:space="preserve">
</t>
        </r>
        <r>
          <rPr>
            <u/>
            <sz val="8"/>
            <color indexed="81"/>
            <rFont val="Tahoma"/>
            <family val="2"/>
          </rPr>
          <t xml:space="preserve">Occupancy Category                             I         </t>
        </r>
        <r>
          <rPr>
            <sz val="8"/>
            <color indexed="81"/>
            <rFont val="Tahoma"/>
            <family val="2"/>
          </rPr>
          <t xml:space="preserve">
          I or II                                          1.0
             III                                            1.25
             IV                                             1.5
</t>
        </r>
      </text>
    </comment>
    <comment ref="C10" authorId="1">
      <text>
        <r>
          <rPr>
            <sz val="8"/>
            <color indexed="81"/>
            <rFont val="Tahoma"/>
            <family val="2"/>
          </rPr>
          <t xml:space="preserve">                                                                                       </t>
        </r>
        <r>
          <rPr>
            <b/>
            <sz val="8"/>
            <color indexed="81"/>
            <rFont val="Tahoma"/>
            <family val="2"/>
          </rPr>
          <t xml:space="preserve">ASCE 7-10 TABLE 20.3-1
</t>
        </r>
        <r>
          <rPr>
            <b/>
            <u/>
            <sz val="8"/>
            <color indexed="81"/>
            <rFont val="Tahoma"/>
            <family val="2"/>
          </rPr>
          <t xml:space="preserve">                                                                                        SITE CLASSIFICATION                                                                                         </t>
        </r>
        <r>
          <rPr>
            <sz val="8"/>
            <color indexed="81"/>
            <rFont val="Tahoma"/>
            <family val="2"/>
          </rPr>
          <t xml:space="preserve">
                                                                    Soil Shear Wave                         Standard Penetration                              Soil Undrained 
</t>
        </r>
        <r>
          <rPr>
            <u/>
            <sz val="8"/>
            <color indexed="81"/>
            <rFont val="Tahoma"/>
            <family val="2"/>
          </rPr>
          <t xml:space="preserve">   SITE CLASS                                             Velocity, vs, (ft/s)                              Resistance, N                           Shear Strength ,su, (psf)  </t>
        </r>
        <r>
          <rPr>
            <sz val="8"/>
            <color indexed="81"/>
            <rFont val="Tahoma"/>
            <family val="2"/>
          </rPr>
          <t xml:space="preserve"> 
</t>
        </r>
        <r>
          <rPr>
            <u/>
            <sz val="8"/>
            <color indexed="81"/>
            <rFont val="Tahoma"/>
            <family val="2"/>
          </rPr>
          <t xml:space="preserve">   A.        Hard Rock                                          vs &gt; 5000                                 Not Applicable                                   Not Applicable              </t>
        </r>
        <r>
          <rPr>
            <sz val="8"/>
            <color indexed="81"/>
            <rFont val="Tahoma"/>
            <family val="2"/>
          </rPr>
          <t xml:space="preserve">     
</t>
        </r>
        <r>
          <rPr>
            <u/>
            <sz val="8"/>
            <color indexed="81"/>
            <rFont val="Tahoma"/>
            <family val="2"/>
          </rPr>
          <t xml:space="preserve">   B          Rock                                          2500 &lt;= vs &lt;= 5000                         Not Applicable                                   Not Applicable            </t>
        </r>
        <r>
          <rPr>
            <sz val="8"/>
            <color indexed="81"/>
            <rFont val="Tahoma"/>
            <family val="2"/>
          </rPr>
          <t xml:space="preserve">    
</t>
        </r>
        <r>
          <rPr>
            <u/>
            <sz val="8"/>
            <color indexed="81"/>
            <rFont val="Tahoma"/>
            <family val="2"/>
          </rPr>
          <t xml:space="preserve">   C.        Very Dense Soil &amp; Soft Rock      1200 &lt;= vs &lt;= 2500                              N &gt; 50                                            su &gt; 2000                </t>
        </r>
        <r>
          <rPr>
            <sz val="8"/>
            <color indexed="81"/>
            <rFont val="Tahoma"/>
            <family val="2"/>
          </rPr>
          <t xml:space="preserve">       
</t>
        </r>
        <r>
          <rPr>
            <u/>
            <sz val="8"/>
            <color indexed="81"/>
            <rFont val="Tahoma"/>
            <family val="2"/>
          </rPr>
          <t xml:space="preserve">   D.        Stiff Soil                                     600 &lt;= vs &lt;= 1200                         15 &lt;= N &lt;= 50                           1000 &lt;= su &lt;= 2000        </t>
        </r>
        <r>
          <rPr>
            <sz val="8"/>
            <color indexed="81"/>
            <rFont val="Tahoma"/>
            <family val="2"/>
          </rPr>
          <t xml:space="preserve">
   E.        Soft Clay Soil                                     vs &lt; 600                                       N &lt; 15                                             su &lt; 1000                           
                                                                           Any profile  with more than 10 feet of soil having the following characteristics:
                                                                              1. Plasticity Index, PI &gt; 20
                                                                              2. Moisture Content, w &gt;= 40% and
</t>
        </r>
        <r>
          <rPr>
            <u/>
            <sz val="8"/>
            <color indexed="81"/>
            <rFont val="Tahoma"/>
            <family val="2"/>
          </rPr>
          <t xml:space="preserve">                                                                              3. Undrained shear strength, su &lt; 500 psf                                                                      </t>
        </r>
        <r>
          <rPr>
            <sz val="8"/>
            <color indexed="81"/>
            <rFont val="Tahoma"/>
            <family val="2"/>
          </rPr>
          <t xml:space="preserve">                                                                
   F              Soils requiring site response           See Section 20.3.1
                   analysis per Section 21.1
                                                                                                                    </t>
        </r>
      </text>
    </comment>
    <comment ref="D24" authorId="1">
      <text>
        <r>
          <rPr>
            <sz val="8"/>
            <color indexed="81"/>
            <rFont val="Tahoma"/>
            <family val="2"/>
          </rPr>
          <t>'Wx' is the portion of the total gravity load of the building, 'W', located or assigned to Level x.</t>
        </r>
      </text>
    </comment>
    <comment ref="D42" authorId="1">
      <text>
        <r>
          <rPr>
            <sz val="8"/>
            <color indexed="81"/>
            <rFont val="Tahoma"/>
            <family val="2"/>
          </rPr>
          <t>'W' = The effective seismic weight of the structure, including the total 
dead load and other loads listed below:
  1. In areas used for storage, a minimum of 25% of the reduced floor
       live load (floor live load in public garages and open parking
       structures need not be included).
  2. Where an allowance for partition load is included in the floor load
       design, the actual partition weight or a minimum weight of 10 psf
       of floor area, whichever is greater.
  3. Total operating weight of permanent equipment.</t>
        </r>
      </text>
    </comment>
    <comment ref="C46" authorId="3">
      <text>
        <r>
          <rPr>
            <b/>
            <sz val="8"/>
            <color indexed="81"/>
            <rFont val="Tahoma"/>
            <family val="2"/>
          </rPr>
          <t xml:space="preserve">                                                   ASCE 7-10 TABLE 11.4-1
                 VALUES OF SITE COEFFICIENT, Fa, AS A FUNCTION OF SITE CLASS
</t>
        </r>
        <r>
          <rPr>
            <b/>
            <u/>
            <sz val="8"/>
            <color indexed="81"/>
            <rFont val="Tahoma"/>
            <family val="2"/>
          </rPr>
          <t xml:space="preserve">     AND MAPPED SPECTRAL RESPONSE ACCELERATION AT SHORT PERIODS (Ss)</t>
        </r>
        <r>
          <rPr>
            <b/>
            <i/>
            <u/>
            <sz val="8"/>
            <color indexed="81"/>
            <rFont val="Tahoma"/>
            <family val="2"/>
          </rPr>
          <t>(a)</t>
        </r>
        <r>
          <rPr>
            <b/>
            <u/>
            <sz val="8"/>
            <color indexed="81"/>
            <rFont val="Tahoma"/>
            <family val="2"/>
          </rPr>
          <t xml:space="preserve">     </t>
        </r>
        <r>
          <rPr>
            <b/>
            <sz val="8"/>
            <color indexed="81"/>
            <rFont val="Tahoma"/>
            <family val="2"/>
          </rPr>
          <t xml:space="preserve">
</t>
        </r>
        <r>
          <rPr>
            <sz val="8"/>
            <color indexed="81"/>
            <rFont val="Tahoma"/>
            <family val="2"/>
          </rPr>
          <t xml:space="preserve">  SITE                       MAPPED SPECTRAL RESPONSE ACCELERATION AT SHORT PERIODS
</t>
        </r>
        <r>
          <rPr>
            <u/>
            <sz val="8"/>
            <color indexed="81"/>
            <rFont val="Tahoma"/>
            <family val="2"/>
          </rPr>
          <t xml:space="preserve">CLASS             Ss&lt;=0.25g           Ss=0.50g            Ss=0.75g            Ss=1.00g            Ss&gt;=1.25g </t>
        </r>
        <r>
          <rPr>
            <b/>
            <u/>
            <sz val="8"/>
            <color indexed="81"/>
            <rFont val="Tahoma"/>
            <family val="2"/>
          </rPr>
          <t xml:space="preserve">
</t>
        </r>
        <r>
          <rPr>
            <sz val="8"/>
            <color indexed="81"/>
            <rFont val="Tahoma"/>
            <family val="2"/>
          </rPr>
          <t xml:space="preserve">    A                        0.8                       0.8                      0.8                       0.8                      0.8
    B                        1.0                       1.0                      1.0                       1.0                      1.0
    C                        1.2                       1.2                      1.1                       1.0                      1.0
    D                        1.6                       1.4                      1.2                       1.1                      1.0
    E                        2.5                       1.7                      1.2                       0.9                      0.9
    F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t>
        </r>
        <r>
          <rPr>
            <i/>
            <sz val="8"/>
            <color indexed="81"/>
            <rFont val="Tahoma"/>
            <family val="2"/>
          </rPr>
          <t>(a)</t>
        </r>
        <r>
          <rPr>
            <sz val="8"/>
            <color indexed="81"/>
            <rFont val="Tahoma"/>
            <family val="2"/>
          </rPr>
          <t xml:space="preserve"> - Use straight line interpolation for intermediate values of mapped spectral acceleration at 
        short period, Ss.
</t>
        </r>
        <r>
          <rPr>
            <i/>
            <sz val="8"/>
            <color indexed="81"/>
            <rFont val="Tahoma"/>
            <family val="2"/>
          </rPr>
          <t>(b)</t>
        </r>
        <r>
          <rPr>
            <sz val="8"/>
            <color indexed="81"/>
            <rFont val="Tahoma"/>
            <family val="2"/>
          </rPr>
          <t xml:space="preserve"> - Site-specific geotechnical investigation and dynamic site response analyses shall be 
        performed to determine appropriate values.  See ASCE 7-05 Section 11.4.7.
</t>
        </r>
      </text>
    </comment>
    <comment ref="C47" authorId="3">
      <text>
        <r>
          <rPr>
            <b/>
            <sz val="8"/>
            <color indexed="81"/>
            <rFont val="Tahoma"/>
            <family val="2"/>
          </rPr>
          <t xml:space="preserve">                                                   ASCE TABLE 11.4-2
                 VALUES OF SITE COEFFICIENT, Fv, AS A FUNCTION OF SITE CLASS
</t>
        </r>
        <r>
          <rPr>
            <b/>
            <u/>
            <sz val="8"/>
            <color indexed="81"/>
            <rFont val="Tahoma"/>
            <family val="2"/>
          </rPr>
          <t xml:space="preserve">    AND MAPPED SPECTRAL RESPONSE ACCELERATION AT 1 SECOND PERIOD (S1)</t>
        </r>
        <r>
          <rPr>
            <b/>
            <i/>
            <u/>
            <sz val="8"/>
            <color indexed="81"/>
            <rFont val="Tahoma"/>
            <family val="2"/>
          </rPr>
          <t>(a)</t>
        </r>
        <r>
          <rPr>
            <b/>
            <u/>
            <sz val="8"/>
            <color indexed="81"/>
            <rFont val="Tahoma"/>
            <family val="2"/>
          </rPr>
          <t xml:space="preserve">    </t>
        </r>
        <r>
          <rPr>
            <b/>
            <sz val="8"/>
            <color indexed="81"/>
            <rFont val="Tahoma"/>
            <family val="2"/>
          </rPr>
          <t xml:space="preserve">
</t>
        </r>
        <r>
          <rPr>
            <sz val="8"/>
            <color indexed="81"/>
            <rFont val="Tahoma"/>
            <family val="2"/>
          </rPr>
          <t xml:space="preserve">  SITE                      MAPPED SPECTRAL RESPONSE ACCELERATION AT 1 SECOND PERIOD
</t>
        </r>
        <r>
          <rPr>
            <u/>
            <sz val="8"/>
            <color indexed="81"/>
            <rFont val="Tahoma"/>
            <family val="2"/>
          </rPr>
          <t xml:space="preserve">CLASS             S1&lt;=0.1g             S1=0.2g              S1=0.3g              S1=0.4g             S1&gt;=0.5g </t>
        </r>
        <r>
          <rPr>
            <b/>
            <u/>
            <sz val="8"/>
            <color indexed="81"/>
            <rFont val="Tahoma"/>
            <family val="2"/>
          </rPr>
          <t xml:space="preserve">
</t>
        </r>
        <r>
          <rPr>
            <sz val="8"/>
            <color indexed="81"/>
            <rFont val="Tahoma"/>
            <family val="2"/>
          </rPr>
          <t xml:space="preserve">    A                        0.8                       0.8                      0.8                       0.8                      0.8
    B                        1.0                       1.0                      1.0                       1.0                      1.0
    C                        1.7                       1.6                      1.5                       1.4                      1.3
    D                        2.4                       2.0                      1.8                       1.6                      1.5
    E                        3.5                       3.2                      2.8                       2.4                      2.4
    F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t>
        </r>
        <r>
          <rPr>
            <i/>
            <sz val="8"/>
            <color indexed="81"/>
            <rFont val="Tahoma"/>
            <family val="2"/>
          </rPr>
          <t>(a)</t>
        </r>
        <r>
          <rPr>
            <sz val="8"/>
            <color indexed="81"/>
            <rFont val="Tahoma"/>
            <family val="2"/>
          </rPr>
          <t xml:space="preserve"> - Use straight line interpolation for intermediate values of mapped spectral acceleration at 
        1-second period, S1.
</t>
        </r>
        <r>
          <rPr>
            <i/>
            <sz val="8"/>
            <color indexed="81"/>
            <rFont val="Tahoma"/>
            <family val="2"/>
          </rPr>
          <t>(b)</t>
        </r>
        <r>
          <rPr>
            <sz val="8"/>
            <color indexed="81"/>
            <rFont val="Tahoma"/>
            <family val="2"/>
          </rPr>
          <t xml:space="preserve"> - Site-specific geotechnical investigation and dynamic site response analyses shall be 
        performed to determine appropriate values.  See ASCE 7-05 Section 11.4.7.
</t>
        </r>
      </text>
    </comment>
    <comment ref="C50" authorId="3">
      <text>
        <r>
          <rPr>
            <sz val="8"/>
            <color indexed="81"/>
            <rFont val="Tahoma"/>
            <family val="2"/>
          </rPr>
          <t>'SMS' is the maximum considered earthquake spectral response accelerations for short period.</t>
        </r>
      </text>
    </comment>
    <comment ref="C51" authorId="3">
      <text>
        <r>
          <rPr>
            <sz val="8"/>
            <color indexed="81"/>
            <rFont val="Tahoma"/>
            <family val="2"/>
          </rPr>
          <t>'SM1' is the maximum considered earthquake spectral response accelerations for 1-second period.</t>
        </r>
      </text>
    </comment>
    <comment ref="C54" authorId="3">
      <text>
        <r>
          <rPr>
            <sz val="8"/>
            <color indexed="81"/>
            <rFont val="Tahoma"/>
            <family val="2"/>
          </rPr>
          <t>'SDS' is the design spectral response acceleration at short periods.</t>
        </r>
      </text>
    </comment>
    <comment ref="C55" authorId="3">
      <text>
        <r>
          <rPr>
            <sz val="8"/>
            <color indexed="81"/>
            <rFont val="Tahoma"/>
            <family val="2"/>
          </rPr>
          <t>'SD1' is the design spectral response acceleration at 1-second period.</t>
        </r>
      </text>
    </comment>
    <comment ref="C59" authorId="3">
      <text>
        <r>
          <rPr>
            <b/>
            <sz val="8"/>
            <color indexed="81"/>
            <rFont val="Tahoma"/>
            <family val="2"/>
          </rPr>
          <t xml:space="preserve">                      ASCE 7-10 TABLE 11.6-1
            SEISMIC DESIGN CATEGORY BASED ON
</t>
        </r>
        <r>
          <rPr>
            <b/>
            <u/>
            <sz val="8"/>
            <color indexed="81"/>
            <rFont val="Tahoma"/>
            <family val="2"/>
          </rPr>
          <t xml:space="preserve">        SHORT-PERIOD RESPONSE ACCELERATIONS           </t>
        </r>
        <r>
          <rPr>
            <b/>
            <sz val="8"/>
            <color indexed="81"/>
            <rFont val="Tahoma"/>
            <family val="2"/>
          </rPr>
          <t xml:space="preserve"> </t>
        </r>
        <r>
          <rPr>
            <sz val="8"/>
            <color indexed="81"/>
            <rFont val="Tahoma"/>
            <family val="2"/>
          </rPr>
          <t xml:space="preserve">
                                                      OCCUPANCY  CATEGORY
</t>
        </r>
        <r>
          <rPr>
            <u/>
            <sz val="8"/>
            <color indexed="81"/>
            <rFont val="Tahoma"/>
            <family val="2"/>
          </rPr>
          <t xml:space="preserve">       VALUE OF SDS                            I or II     III         IV        </t>
        </r>
        <r>
          <rPr>
            <sz val="8"/>
            <color indexed="81"/>
            <rFont val="Tahoma"/>
            <family val="2"/>
          </rPr>
          <t xml:space="preserve">       
SDS &lt; 0.167g                                       A          A          A
0.167g &lt;= SDS &lt; 0.33g                       B          B          C
0.33g &lt;= SDS &lt; 0.50g                         C         C           D
</t>
        </r>
        <r>
          <rPr>
            <u/>
            <sz val="8"/>
            <color indexed="81"/>
            <rFont val="Tahoma"/>
            <family val="2"/>
          </rPr>
          <t xml:space="preserve">0.50g &lt;= SDS                                       D         D           D      </t>
        </r>
        <r>
          <rPr>
            <sz val="8"/>
            <color indexed="81"/>
            <rFont val="Tahoma"/>
            <family val="2"/>
          </rPr>
          <t xml:space="preserve">
                       </t>
        </r>
      </text>
    </comment>
    <comment ref="C60" authorId="3">
      <text>
        <r>
          <rPr>
            <b/>
            <sz val="8"/>
            <color indexed="81"/>
            <rFont val="Tahoma"/>
            <family val="2"/>
          </rPr>
          <t xml:space="preserve">                      ASCE 7-10 TABLE 11.6-2
            SEISMIC DESIGN CATEGORY BASED ON
</t>
        </r>
        <r>
          <rPr>
            <b/>
            <u/>
            <sz val="8"/>
            <color indexed="81"/>
            <rFont val="Tahoma"/>
            <family val="2"/>
          </rPr>
          <t xml:space="preserve">     1-SECOND PERIOD RESPONSE ACCELERATIONS           </t>
        </r>
        <r>
          <rPr>
            <b/>
            <sz val="8"/>
            <color indexed="81"/>
            <rFont val="Tahoma"/>
            <family val="2"/>
          </rPr>
          <t xml:space="preserve"> </t>
        </r>
        <r>
          <rPr>
            <sz val="8"/>
            <color indexed="81"/>
            <rFont val="Tahoma"/>
            <family val="2"/>
          </rPr>
          <t xml:space="preserve">
                                                      OCCUPANCY  CATEGORY
</t>
        </r>
        <r>
          <rPr>
            <u/>
            <sz val="8"/>
            <color indexed="81"/>
            <rFont val="Tahoma"/>
            <family val="2"/>
          </rPr>
          <t xml:space="preserve">       VALUE OF SD1                            I or II     III         IV        </t>
        </r>
        <r>
          <rPr>
            <sz val="8"/>
            <color indexed="81"/>
            <rFont val="Tahoma"/>
            <family val="2"/>
          </rPr>
          <t xml:space="preserve">       
SD1 &lt; 0.067g                                       A          A          A
0.067g &lt;= SD1 &lt; 0.133g                     B          B          C
0.133g &lt;= SD1 &lt; 0.20g                       C         C          D
</t>
        </r>
        <r>
          <rPr>
            <u/>
            <sz val="8"/>
            <color indexed="81"/>
            <rFont val="Tahoma"/>
            <family val="2"/>
          </rPr>
          <t>0.20g &lt;= SD1                                       D</t>
        </r>
        <r>
          <rPr>
            <i/>
            <u/>
            <sz val="8"/>
            <color indexed="81"/>
            <rFont val="Tahoma"/>
            <family val="2"/>
          </rPr>
          <t>(a)</t>
        </r>
        <r>
          <rPr>
            <u/>
            <sz val="8"/>
            <color indexed="81"/>
            <rFont val="Tahoma"/>
            <family val="2"/>
          </rPr>
          <t xml:space="preserve">     D</t>
        </r>
        <r>
          <rPr>
            <i/>
            <u/>
            <sz val="8"/>
            <color indexed="81"/>
            <rFont val="Tahoma"/>
            <family val="2"/>
          </rPr>
          <t>(a)</t>
        </r>
        <r>
          <rPr>
            <u/>
            <sz val="8"/>
            <color indexed="81"/>
            <rFont val="Tahoma"/>
            <family val="2"/>
          </rPr>
          <t xml:space="preserve">   D</t>
        </r>
        <r>
          <rPr>
            <i/>
            <u/>
            <sz val="8"/>
            <color indexed="81"/>
            <rFont val="Tahoma"/>
            <family val="2"/>
          </rPr>
          <t>(a)</t>
        </r>
        <r>
          <rPr>
            <u/>
            <sz val="8"/>
            <color indexed="81"/>
            <rFont val="Tahoma"/>
            <family val="2"/>
          </rPr>
          <t xml:space="preserve">      </t>
        </r>
        <r>
          <rPr>
            <sz val="8"/>
            <color indexed="81"/>
            <rFont val="Tahoma"/>
            <family val="2"/>
          </rPr>
          <t xml:space="preserve">
Note from Section 1613.5.6:      
        Structures classified as Occupancy Category I, II, or III 
        that are located where the mapped spectral response 
        acceleration at 1-second period, S1, is greater than or
        equal to 0.75g shall be assigned to Seismic Design
        Category E.  Structures classified as Occupancy 
        Category IV that are located where the mapped 
        spectral response acceleration at 1-second period, S1,
        is greater than or equal to 0.75g shall be assigned to 
        Seismic Design Category F.    </t>
        </r>
      </text>
    </comment>
    <comment ref="C61" authorId="3">
      <text>
        <r>
          <rPr>
            <sz val="8"/>
            <color indexed="81"/>
            <rFont val="Tahoma"/>
            <family val="2"/>
          </rPr>
          <t>Seismic Design Category to be used shall be the the highest (most critical) category.</t>
        </r>
      </text>
    </comment>
    <comment ref="C64" authorId="3">
      <text>
        <r>
          <rPr>
            <sz val="8"/>
            <color indexed="81"/>
            <rFont val="Tahoma"/>
            <family val="2"/>
          </rPr>
          <t>'CT' is the building period coefficient, and is dependent on the type of seismic-force-resisting system that is used:
    CT = 0.028 for moment-resisting frames of steel
    CT = 0.016 for moment-resisting frame systems of reinforced concrete
    CT = 0.030 for eccentrically braced steel frames
    CT = 0.020 for all other building systems</t>
        </r>
      </text>
    </comment>
    <comment ref="C65" authorId="3">
      <text>
        <r>
          <rPr>
            <sz val="8"/>
            <color indexed="81"/>
            <rFont val="Tahoma"/>
            <family val="2"/>
          </rPr>
          <t>'x' is the building period formula exponent, and is dependent on the type of seismic-force-resisting system that is used:
    x = 0.80 for moment-resisting frames of steel
    x = 0.90 for moment-resisting frame systems of reinforced concrete
    x = 0.75 for eccentrically braced steel frames
    x = 0.75 for all other building systems</t>
        </r>
      </text>
    </comment>
    <comment ref="C66" authorId="3">
      <text>
        <r>
          <rPr>
            <sz val="8"/>
            <color indexed="81"/>
            <rFont val="Tahoma"/>
            <family val="2"/>
          </rPr>
          <t>'Ta' is the approximate fundamental period of the building, in seconds.</t>
        </r>
      </text>
    </comment>
    <comment ref="C67" authorId="3">
      <text>
        <r>
          <rPr>
            <b/>
            <sz val="8"/>
            <color indexed="81"/>
            <rFont val="Tahoma"/>
            <family val="2"/>
          </rPr>
          <t xml:space="preserve">                       ASCE 7-05 TABLE 12.8-1
                COEFFICIENT FOR UPPER LIMIT
</t>
        </r>
        <r>
          <rPr>
            <b/>
            <u/>
            <sz val="8"/>
            <color indexed="81"/>
            <rFont val="Tahoma"/>
            <family val="2"/>
          </rPr>
          <t xml:space="preserve">                       ON CALCULATED PERIOD                         </t>
        </r>
        <r>
          <rPr>
            <b/>
            <sz val="8"/>
            <color indexed="81"/>
            <rFont val="Tahoma"/>
            <family val="2"/>
          </rPr>
          <t xml:space="preserve"> </t>
        </r>
        <r>
          <rPr>
            <sz val="8"/>
            <color indexed="81"/>
            <rFont val="Tahoma"/>
            <family val="2"/>
          </rPr>
          <t xml:space="preserve">
      Design Spectral Response
</t>
        </r>
        <r>
          <rPr>
            <u/>
            <sz val="8"/>
            <color indexed="81"/>
            <rFont val="Tahoma"/>
            <family val="2"/>
          </rPr>
          <t xml:space="preserve">Acceleration at 1 Second Period, SD1          Coefficient, Cu
</t>
        </r>
        <r>
          <rPr>
            <sz val="8"/>
            <color indexed="81"/>
            <rFont val="Tahoma"/>
            <family val="2"/>
          </rPr>
          <t xml:space="preserve">                   &gt;=0.4                                                1.4
                     0.3                                                   1.4
                     0.2                                                   1.5
                    0.15                                                  1.6
                  &lt;=0.1                                                 1.7
                   </t>
        </r>
      </text>
    </comment>
    <comment ref="C72" authorId="1">
      <text>
        <r>
          <rPr>
            <sz val="8"/>
            <color indexed="81"/>
            <rFont val="Tahoma"/>
            <family val="2"/>
          </rPr>
          <t>The Response Modification Coefficient, "R", is determined from ASCE 7-10 Table 12.2-1.</t>
        </r>
      </text>
    </comment>
    <comment ref="C73" authorId="1">
      <text>
        <r>
          <rPr>
            <sz val="8"/>
            <color indexed="81"/>
            <rFont val="Tahoma"/>
            <family val="2"/>
          </rPr>
          <t>The System Overstrength Factor, "</t>
        </r>
        <r>
          <rPr>
            <sz val="8"/>
            <color indexed="81"/>
            <rFont val="Symbol"/>
            <family val="1"/>
            <charset val="2"/>
          </rPr>
          <t>W</t>
        </r>
        <r>
          <rPr>
            <sz val="8"/>
            <color indexed="81"/>
            <rFont val="Tahoma"/>
            <family val="2"/>
          </rPr>
          <t>o", is determined from ASCE 7-10 Table 12.2-1.</t>
        </r>
      </text>
    </comment>
    <comment ref="C74" authorId="1">
      <text>
        <r>
          <rPr>
            <sz val="8"/>
            <color indexed="81"/>
            <rFont val="Tahoma"/>
            <family val="2"/>
          </rPr>
          <t>The Deflection Amplification Factor, "Cd", is determined from ASCE 7-10 Table 12.2-1.</t>
        </r>
      </text>
    </comment>
    <comment ref="C75" authorId="3">
      <text>
        <r>
          <rPr>
            <sz val="8"/>
            <color indexed="81"/>
            <rFont val="Tahoma"/>
            <family val="2"/>
          </rPr>
          <t>'CS' is the seismic response coefficient.</t>
        </r>
      </text>
    </comment>
    <comment ref="C77" authorId="2">
      <text>
        <r>
          <rPr>
            <sz val="8"/>
            <color indexed="81"/>
            <rFont val="Tahoma"/>
            <family val="2"/>
          </rPr>
          <t xml:space="preserve">If S1 &lt; 0.6*g:
Cs(min) = 0.044*SDS*I &gt;= 0.01 (ASCE 7-10, Eqn. 12.8-5)
If S1 &gt;= 0.6*g:
Cs(min) = 0.5*S1/(R/I)  (ASCE 7-10, Eqn. 12.8-6)
</t>
        </r>
      </text>
    </comment>
    <comment ref="C81" authorId="1">
      <text>
        <r>
          <rPr>
            <sz val="8"/>
            <color indexed="81"/>
            <rFont val="Tahoma"/>
            <family val="2"/>
          </rPr>
          <t>'V' is the total Seismic Base Shear, and it may be minimized by any of the following means:
1. Using a seismic-force-resisting system with a larger Response
     Modification Factor, 'R'.  The total Seismic Base Shear, 'V', is 
     inversely proportional to the the value of 'R'.
2. Using a lower site class if possible
3. Minimizing the weight of the structure.</t>
        </r>
      </text>
    </comment>
    <comment ref="D84" authorId="3">
      <text>
        <r>
          <rPr>
            <sz val="8"/>
            <color indexed="81"/>
            <rFont val="Tahoma"/>
            <family val="2"/>
          </rPr>
          <t>'K' is the distribution exponent related to the building period.</t>
        </r>
      </text>
    </comment>
  </commentList>
</comments>
</file>

<file path=xl/comments2.xml><?xml version="1.0" encoding="utf-8"?>
<comments xmlns="http://schemas.openxmlformats.org/spreadsheetml/2006/main">
  <authors>
    <author>David Taylor</author>
    <author>Alex Tomanovich</author>
    <author xml:space="preserve"> </author>
    <author>Alex Tomanovich, P.E.</author>
  </authors>
  <commentList>
    <comment ref="AK1" authorId="0">
      <text>
        <r>
          <rPr>
            <b/>
            <sz val="9"/>
            <color indexed="81"/>
            <rFont val="Tahoma"/>
            <family val="2"/>
          </rPr>
          <t xml:space="preserve">"ASCE710E.xls"
</t>
        </r>
        <r>
          <rPr>
            <sz val="9"/>
            <color indexed="81"/>
            <rFont val="Tahoma"/>
            <family val="2"/>
          </rPr>
          <t>Original version</t>
        </r>
        <r>
          <rPr>
            <b/>
            <sz val="9"/>
            <color indexed="81"/>
            <rFont val="Tahoma"/>
            <family val="2"/>
          </rPr>
          <t xml:space="preserve"> </t>
        </r>
        <r>
          <rPr>
            <sz val="9"/>
            <color indexed="81"/>
            <rFont val="Tahoma"/>
            <family val="2"/>
          </rPr>
          <t>("IBC2009E.xls")</t>
        </r>
        <r>
          <rPr>
            <b/>
            <sz val="9"/>
            <color indexed="81"/>
            <rFont val="Tahoma"/>
            <family val="2"/>
          </rPr>
          <t xml:space="preserve"> </t>
        </r>
        <r>
          <rPr>
            <sz val="9"/>
            <color indexed="81"/>
            <rFont val="Tahoma"/>
            <family val="2"/>
          </rPr>
          <t>written by:  Alex Tomanovich, P.E.
Modified by: William Fultz, P.E.</t>
        </r>
      </text>
    </comment>
    <comment ref="C8" authorId="1">
      <text>
        <r>
          <rPr>
            <b/>
            <sz val="8"/>
            <color indexed="81"/>
            <rFont val="Tahoma"/>
            <family val="2"/>
          </rPr>
          <t xml:space="preserve">                                                                        IBC 2012 TABLE 1604.5</t>
        </r>
        <r>
          <rPr>
            <b/>
            <u/>
            <sz val="8"/>
            <color indexed="81"/>
            <rFont val="Tahoma"/>
            <family val="2"/>
          </rPr>
          <t xml:space="preserve">
                                         Risk Category of Buildings and Other Structures                                                      </t>
        </r>
        <r>
          <rPr>
            <sz val="8"/>
            <color indexed="81"/>
            <rFont val="Tahoma"/>
            <family val="2"/>
          </rPr>
          <t xml:space="preserve">                                                                                                     
</t>
        </r>
        <r>
          <rPr>
            <b/>
            <u/>
            <sz val="8"/>
            <color indexed="81"/>
            <rFont val="Tahoma"/>
            <family val="2"/>
          </rPr>
          <t>Nature of Occupancy                                                                                                                      Risk Category</t>
        </r>
        <r>
          <rPr>
            <sz val="8"/>
            <color indexed="81"/>
            <rFont val="Tahoma"/>
            <family val="2"/>
          </rPr>
          <t xml:space="preserve">
Buildings and structures that represent a low hazard to human life in the event of failure                                    I
including, but not limited to:
     - Agriculture facilities.                                                                                                             
     - Certain temporary facilities.
</t>
        </r>
        <r>
          <rPr>
            <u/>
            <sz val="8"/>
            <color indexed="81"/>
            <rFont val="Tahoma"/>
            <family val="2"/>
          </rPr>
          <t xml:space="preserve">     - Minor storage facilities.                                                                                                                                                         </t>
        </r>
        <r>
          <rPr>
            <sz val="8"/>
            <color indexed="81"/>
            <rFont val="Tahoma"/>
            <family val="2"/>
          </rPr>
          <t xml:space="preserve">       
</t>
        </r>
        <r>
          <rPr>
            <u/>
            <sz val="8"/>
            <color indexed="81"/>
            <rFont val="Tahoma"/>
            <family val="2"/>
          </rPr>
          <t xml:space="preserve">Buildings and other structures except those listed in Occupancy Categories I, III and IV                                     II                 </t>
        </r>
        <r>
          <rPr>
            <sz val="8"/>
            <color indexed="81"/>
            <rFont val="Tahoma"/>
            <family val="2"/>
          </rPr>
          <t xml:space="preserve">
Buildings and other structures that represent a substantial hazard to human life in the event of                        III      
failure, including but not limited to:
     - Buildings and other structures whose primary occupancy is public assembly with an 
       occupant load greater that 300.
     - Buildings and other structures containing elementary school, secondary school or day care
       facilities with and occupant load greater than 250.
     - Buildings and other structures containing adult education facilities, such as colleges and
       universities, with an occupant load greater than 500.
     - Group I-2 occupancies with an occupant load of 50 or more resident patients but not 
       having surgery or emergency treatment facilities.
     - Group I-3 occupancies.
     - Any other occupancy with an occupant load greater than 5,000 (a).
     - Power-generating stations, water treatment facilities for potable water, waste water 
       treatment facilities and other public utility facilities not included in Occupancy Category IV.
     - Buildings and other structures not included in Occupancy Category IV containing sufficient 
</t>
        </r>
        <r>
          <rPr>
            <u/>
            <sz val="8"/>
            <color indexed="81"/>
            <rFont val="Tahoma"/>
            <family val="2"/>
          </rPr>
          <t xml:space="preserve">       quantities of toxic or explosive substances to be dangerous to the public if released.                                                       </t>
        </r>
        <r>
          <rPr>
            <sz val="8"/>
            <color indexed="81"/>
            <rFont val="Tahoma"/>
            <family val="2"/>
          </rPr>
          <t xml:space="preserve">  </t>
        </r>
        <r>
          <rPr>
            <u/>
            <sz val="8"/>
            <color indexed="81"/>
            <rFont val="Tahoma"/>
            <family val="2"/>
          </rPr>
          <t xml:space="preserve">               </t>
        </r>
        <r>
          <rPr>
            <sz val="8"/>
            <color indexed="81"/>
            <rFont val="Tahoma"/>
            <family val="2"/>
          </rPr>
          <t xml:space="preserve">
Buildings and other structures designated as essential facilities, including but not limited to:                               IV
     - Group I-2 occupancies having surgery or emergency treatment facilities.
     - Fire, rescue, ambulance and police stations and emergency vehicle garages.
     - Designated earthquake, hurricane or other emergency shelters.
     - Designated emergency preparedness, communications and operations centers and other
       other facilities required for emergency response. 
     - Power-generating stations and other public utility facilities required as emergency backup 
       facilities for Occupancy Category IV structures.
     - Structures containing highly toxic materials as defined by Section 307 where the quantity 
       of the material exceeds the maximum allowable quantities of Table 307.1(2).
     - Aviation control towers, air traffic control centers and emergency aircraft hangars.
     - Buildings and other structures having critical national defense functions.
     - Water storage facilities and pump structures required to maintain water pressure for fire </t>
        </r>
        <r>
          <rPr>
            <u/>
            <sz val="8"/>
            <color indexed="81"/>
            <rFont val="Tahoma"/>
            <family val="2"/>
          </rPr>
          <t xml:space="preserve">
       suppression.                                                                                                                                                                          
</t>
        </r>
        <r>
          <rPr>
            <sz val="8"/>
            <color indexed="81"/>
            <rFont val="Tahoma"/>
            <family val="2"/>
          </rPr>
          <t>(a) For purposes of occupant load calculation,occupancies required by Table 1004.1.1 to use gross floor 
       area calculations shall be permitted to use net floor areas to determine the total occupant load.</t>
        </r>
      </text>
    </comment>
    <comment ref="C9" authorId="2">
      <text>
        <r>
          <rPr>
            <b/>
            <sz val="8"/>
            <color indexed="81"/>
            <rFont val="Tahoma"/>
            <family val="2"/>
          </rPr>
          <t xml:space="preserve">             ASCE 7-10 TABLE 1.5-1 
</t>
        </r>
        <r>
          <rPr>
            <b/>
            <u/>
            <sz val="8"/>
            <color indexed="81"/>
            <rFont val="Tahoma"/>
            <family val="2"/>
          </rPr>
          <t xml:space="preserve">              IMPORTANCE FACTORS                 </t>
        </r>
        <r>
          <rPr>
            <b/>
            <sz val="8"/>
            <color indexed="81"/>
            <rFont val="Tahoma"/>
            <family val="2"/>
          </rPr>
          <t xml:space="preserve">
</t>
        </r>
        <r>
          <rPr>
            <u/>
            <sz val="8"/>
            <color indexed="81"/>
            <rFont val="Tahoma"/>
            <family val="2"/>
          </rPr>
          <t xml:space="preserve">Occupancy Category                             I         </t>
        </r>
        <r>
          <rPr>
            <sz val="8"/>
            <color indexed="81"/>
            <rFont val="Tahoma"/>
            <family val="2"/>
          </rPr>
          <t xml:space="preserve">
          I or II                                          1.0
             III                                            1.25
             IV                                             1.5
</t>
        </r>
      </text>
    </comment>
    <comment ref="C10" authorId="1">
      <text>
        <r>
          <rPr>
            <sz val="8"/>
            <color indexed="81"/>
            <rFont val="Tahoma"/>
            <family val="2"/>
          </rPr>
          <t xml:space="preserve">                                                                                       </t>
        </r>
        <r>
          <rPr>
            <b/>
            <sz val="8"/>
            <color indexed="81"/>
            <rFont val="Tahoma"/>
            <family val="2"/>
          </rPr>
          <t xml:space="preserve">ASCE 7-10 TABLE 20.3-1
</t>
        </r>
        <r>
          <rPr>
            <b/>
            <u/>
            <sz val="8"/>
            <color indexed="81"/>
            <rFont val="Tahoma"/>
            <family val="2"/>
          </rPr>
          <t xml:space="preserve">                                                                                        SITE CLASSIFICATION                                                                                         </t>
        </r>
        <r>
          <rPr>
            <sz val="8"/>
            <color indexed="81"/>
            <rFont val="Tahoma"/>
            <family val="2"/>
          </rPr>
          <t xml:space="preserve">
                                                                    Soil Shear Wave                         Standard Penetration                              Soil Undrained 
</t>
        </r>
        <r>
          <rPr>
            <u/>
            <sz val="8"/>
            <color indexed="81"/>
            <rFont val="Tahoma"/>
            <family val="2"/>
          </rPr>
          <t xml:space="preserve">   SITE CLASS                                             Velocity, vs, (ft/s)                              Resistance, N                           Shear Strength ,su, (psf)  </t>
        </r>
        <r>
          <rPr>
            <sz val="8"/>
            <color indexed="81"/>
            <rFont val="Tahoma"/>
            <family val="2"/>
          </rPr>
          <t xml:space="preserve"> 
</t>
        </r>
        <r>
          <rPr>
            <u/>
            <sz val="8"/>
            <color indexed="81"/>
            <rFont val="Tahoma"/>
            <family val="2"/>
          </rPr>
          <t xml:space="preserve">   A.        Hard Rock                                          vs &gt; 5000                                 Not Applicable                                   Not Applicable              </t>
        </r>
        <r>
          <rPr>
            <sz val="8"/>
            <color indexed="81"/>
            <rFont val="Tahoma"/>
            <family val="2"/>
          </rPr>
          <t xml:space="preserve">     
</t>
        </r>
        <r>
          <rPr>
            <u/>
            <sz val="8"/>
            <color indexed="81"/>
            <rFont val="Tahoma"/>
            <family val="2"/>
          </rPr>
          <t xml:space="preserve">   B          Rock                                          2500 &lt;= vs &lt;= 5000                         Not Applicable                                   Not Applicable            </t>
        </r>
        <r>
          <rPr>
            <sz val="8"/>
            <color indexed="81"/>
            <rFont val="Tahoma"/>
            <family val="2"/>
          </rPr>
          <t xml:space="preserve">    
</t>
        </r>
        <r>
          <rPr>
            <u/>
            <sz val="8"/>
            <color indexed="81"/>
            <rFont val="Tahoma"/>
            <family val="2"/>
          </rPr>
          <t xml:space="preserve">   C.        Very Dense Soil &amp; Soft Rock      1200 &lt;= vs &lt;= 2500                              N &gt; 50                                            su &gt; 2000                </t>
        </r>
        <r>
          <rPr>
            <sz val="8"/>
            <color indexed="81"/>
            <rFont val="Tahoma"/>
            <family val="2"/>
          </rPr>
          <t xml:space="preserve">       
</t>
        </r>
        <r>
          <rPr>
            <u/>
            <sz val="8"/>
            <color indexed="81"/>
            <rFont val="Tahoma"/>
            <family val="2"/>
          </rPr>
          <t xml:space="preserve">   D.        Stiff Soil                                     600 &lt;= vs &lt;= 1200                         15 &lt;= N &lt;= 50                           1000 &lt;= su &lt;= 2000        </t>
        </r>
        <r>
          <rPr>
            <sz val="8"/>
            <color indexed="81"/>
            <rFont val="Tahoma"/>
            <family val="2"/>
          </rPr>
          <t xml:space="preserve">
   E.        Soft Clay Soil                                     vs &lt; 600                                       N &lt; 15                                             su &lt; 1000                           
                                                                           Any profile  with more than 10 feet of soil having the following characteristics:
                                                                              1. Plasticity Index, PI &gt; 20
                                                                              2. Moisture Content, w &gt;= 40% and
</t>
        </r>
        <r>
          <rPr>
            <u/>
            <sz val="8"/>
            <color indexed="81"/>
            <rFont val="Tahoma"/>
            <family val="2"/>
          </rPr>
          <t xml:space="preserve">                                                                              3. Undrained shear strength, su &lt; 500 psf                                                                      </t>
        </r>
        <r>
          <rPr>
            <sz val="8"/>
            <color indexed="81"/>
            <rFont val="Tahoma"/>
            <family val="2"/>
          </rPr>
          <t xml:space="preserve">                                                                
   F              Soils requiring site response           See Section 20.3.1
                   analysis per Section 21.1
                                                                                                                    </t>
        </r>
      </text>
    </comment>
    <comment ref="D22" authorId="1">
      <text>
        <r>
          <rPr>
            <sz val="8"/>
            <color indexed="81"/>
            <rFont val="Tahoma"/>
            <family val="2"/>
          </rPr>
          <t>'</t>
        </r>
        <r>
          <rPr>
            <sz val="8"/>
            <color indexed="81"/>
            <rFont val="Symbol"/>
            <family val="1"/>
            <charset val="2"/>
          </rPr>
          <t>d</t>
        </r>
        <r>
          <rPr>
            <sz val="8"/>
            <color indexed="81"/>
            <rFont val="Tahoma"/>
            <family val="2"/>
          </rPr>
          <t>xe' is the total horizontal deflection at Level x as determined by separate 2D or 3D elastic frame analysis, exclusive of this worksheet.</t>
        </r>
      </text>
    </comment>
    <comment ref="C43" authorId="3">
      <text>
        <r>
          <rPr>
            <b/>
            <sz val="8"/>
            <color indexed="81"/>
            <rFont val="Tahoma"/>
            <family val="2"/>
          </rPr>
          <t xml:space="preserve">                                                   ASCE 7-10 TABLE 11.4-1
                 VALUES OF SITE COEFFICIENT, Fa, AS A FUNCTION OF SITE CLASS
</t>
        </r>
        <r>
          <rPr>
            <b/>
            <u/>
            <sz val="8"/>
            <color indexed="81"/>
            <rFont val="Tahoma"/>
            <family val="2"/>
          </rPr>
          <t xml:space="preserve">     AND MAPPED SPECTRAL RESPONSE ACCELERATION AT SHORT PERIODS (Ss)</t>
        </r>
        <r>
          <rPr>
            <b/>
            <i/>
            <u/>
            <sz val="8"/>
            <color indexed="81"/>
            <rFont val="Tahoma"/>
            <family val="2"/>
          </rPr>
          <t>(a)</t>
        </r>
        <r>
          <rPr>
            <b/>
            <u/>
            <sz val="8"/>
            <color indexed="81"/>
            <rFont val="Tahoma"/>
            <family val="2"/>
          </rPr>
          <t xml:space="preserve">     </t>
        </r>
        <r>
          <rPr>
            <b/>
            <sz val="8"/>
            <color indexed="81"/>
            <rFont val="Tahoma"/>
            <family val="2"/>
          </rPr>
          <t xml:space="preserve">
</t>
        </r>
        <r>
          <rPr>
            <sz val="8"/>
            <color indexed="81"/>
            <rFont val="Tahoma"/>
            <family val="2"/>
          </rPr>
          <t xml:space="preserve">  SITE                       MAPPED SPECTRAL RESPONSE ACCELERATION AT SHORT PERIODS
</t>
        </r>
        <r>
          <rPr>
            <u/>
            <sz val="8"/>
            <color indexed="81"/>
            <rFont val="Tahoma"/>
            <family val="2"/>
          </rPr>
          <t xml:space="preserve">CLASS             Ss&lt;=0.25g           Ss=0.50g            Ss=0.75g            Ss=1.00g            Ss&gt;=1.25g </t>
        </r>
        <r>
          <rPr>
            <b/>
            <u/>
            <sz val="8"/>
            <color indexed="81"/>
            <rFont val="Tahoma"/>
            <family val="2"/>
          </rPr>
          <t xml:space="preserve">
</t>
        </r>
        <r>
          <rPr>
            <sz val="8"/>
            <color indexed="81"/>
            <rFont val="Tahoma"/>
            <family val="2"/>
          </rPr>
          <t xml:space="preserve">    A                        0.8                       0.8                      0.8                       0.8                      0.8
    B                        1.0                       1.0                      1.0                       1.0                      1.0
    C                        1.2                       1.2                      1.1                       1.0                      1.0
    D                        1.6                       1.4                      1.2                       1.1                      1.0
    E                        2.5                       1.7                      1.2                       0.9                      0.9
    F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t>
        </r>
        <r>
          <rPr>
            <i/>
            <sz val="8"/>
            <color indexed="81"/>
            <rFont val="Tahoma"/>
            <family val="2"/>
          </rPr>
          <t>(a)</t>
        </r>
        <r>
          <rPr>
            <sz val="8"/>
            <color indexed="81"/>
            <rFont val="Tahoma"/>
            <family val="2"/>
          </rPr>
          <t xml:space="preserve"> - Use straight line interpolation for intermediate values of mapped spectral acceleration at 
        short period, Ss.
</t>
        </r>
        <r>
          <rPr>
            <i/>
            <sz val="8"/>
            <color indexed="81"/>
            <rFont val="Tahoma"/>
            <family val="2"/>
          </rPr>
          <t>(b)</t>
        </r>
        <r>
          <rPr>
            <sz val="8"/>
            <color indexed="81"/>
            <rFont val="Tahoma"/>
            <family val="2"/>
          </rPr>
          <t xml:space="preserve"> - Site-specific geotechnical investigation and dynamic site response analyses shall be 
        performed to determine appropriate values.  See ASCE 7-05 Section 11.4.7.
</t>
        </r>
      </text>
    </comment>
    <comment ref="C44" authorId="3">
      <text>
        <r>
          <rPr>
            <b/>
            <sz val="8"/>
            <color indexed="81"/>
            <rFont val="Tahoma"/>
            <family val="2"/>
          </rPr>
          <t xml:space="preserve">                                                   ASCE 7-10 TABLE 11.4-2
                 VALUES OF SITE COEFFICIENT, Fv, AS A FUNCTION OF SITE CLASS
</t>
        </r>
        <r>
          <rPr>
            <b/>
            <u/>
            <sz val="8"/>
            <color indexed="81"/>
            <rFont val="Tahoma"/>
            <family val="2"/>
          </rPr>
          <t xml:space="preserve">    AND MAPPED SPECTRAL RESPONSE ACCELERATION AT 1 SECOND PERIOD (S1)</t>
        </r>
        <r>
          <rPr>
            <b/>
            <i/>
            <u/>
            <sz val="8"/>
            <color indexed="81"/>
            <rFont val="Tahoma"/>
            <family val="2"/>
          </rPr>
          <t>(a)</t>
        </r>
        <r>
          <rPr>
            <b/>
            <u/>
            <sz val="8"/>
            <color indexed="81"/>
            <rFont val="Tahoma"/>
            <family val="2"/>
          </rPr>
          <t xml:space="preserve">    </t>
        </r>
        <r>
          <rPr>
            <b/>
            <sz val="8"/>
            <color indexed="81"/>
            <rFont val="Tahoma"/>
            <family val="2"/>
          </rPr>
          <t xml:space="preserve">
</t>
        </r>
        <r>
          <rPr>
            <sz val="8"/>
            <color indexed="81"/>
            <rFont val="Tahoma"/>
            <family val="2"/>
          </rPr>
          <t xml:space="preserve">  SITE                      MAPPED SPECTRAL RESPONSE ACCELERATION AT 1 SECOND PERIOD
</t>
        </r>
        <r>
          <rPr>
            <u/>
            <sz val="8"/>
            <color indexed="81"/>
            <rFont val="Tahoma"/>
            <family val="2"/>
          </rPr>
          <t xml:space="preserve">CLASS             S1&lt;=0.1g             S1=0.2g              S1=0.3g              S1=0.4g             S1&gt;=0.5g </t>
        </r>
        <r>
          <rPr>
            <b/>
            <u/>
            <sz val="8"/>
            <color indexed="81"/>
            <rFont val="Tahoma"/>
            <family val="2"/>
          </rPr>
          <t xml:space="preserve">
</t>
        </r>
        <r>
          <rPr>
            <sz val="8"/>
            <color indexed="81"/>
            <rFont val="Tahoma"/>
            <family val="2"/>
          </rPr>
          <t xml:space="preserve">    A                        0.8                       0.8                      0.8                       0.8                      0.8
    B                        1.0                       1.0                      1.0                       1.0                      1.0
    C                        1.7                       1.6                      1.5                       1.4                      1.3
    D                        2.4                       2.0                      1.8                       1.6                      1.5
    E                        3.5                       3.2                      2.8                       2.4                      2.4
    F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t>
        </r>
        <r>
          <rPr>
            <i/>
            <sz val="8"/>
            <color indexed="81"/>
            <rFont val="Tahoma"/>
            <family val="2"/>
          </rPr>
          <t>(a)</t>
        </r>
        <r>
          <rPr>
            <sz val="8"/>
            <color indexed="81"/>
            <rFont val="Tahoma"/>
            <family val="2"/>
          </rPr>
          <t xml:space="preserve"> - Use straight line interpolation for intermediate values of mapped spectral acceleration at 
        1-second period, S1.
</t>
        </r>
        <r>
          <rPr>
            <i/>
            <sz val="8"/>
            <color indexed="81"/>
            <rFont val="Tahoma"/>
            <family val="2"/>
          </rPr>
          <t>(b)</t>
        </r>
        <r>
          <rPr>
            <sz val="8"/>
            <color indexed="81"/>
            <rFont val="Tahoma"/>
            <family val="2"/>
          </rPr>
          <t xml:space="preserve"> - Site-specific geotechnical investigation and dynamic site response analyses shall be 
        performed to determine appropriate values.  See ASCE 7-05 Section 11.4.7.
</t>
        </r>
      </text>
    </comment>
    <comment ref="C47" authorId="3">
      <text>
        <r>
          <rPr>
            <sz val="8"/>
            <color indexed="81"/>
            <rFont val="Tahoma"/>
            <family val="2"/>
          </rPr>
          <t>'SMS' is the maximum considered earthquake spectral response accelerations for short period</t>
        </r>
      </text>
    </comment>
    <comment ref="C48" authorId="3">
      <text>
        <r>
          <rPr>
            <sz val="8"/>
            <color indexed="81"/>
            <rFont val="Tahoma"/>
            <family val="2"/>
          </rPr>
          <t>'SM1' is the maximum considered earthquake spectral response accelerations for 1-second period</t>
        </r>
      </text>
    </comment>
    <comment ref="C51" authorId="3">
      <text>
        <r>
          <rPr>
            <sz val="8"/>
            <color indexed="81"/>
            <rFont val="Tahoma"/>
            <family val="2"/>
          </rPr>
          <t>'SDS' is the design spectral response acceleration at short periods</t>
        </r>
      </text>
    </comment>
    <comment ref="C52" authorId="3">
      <text>
        <r>
          <rPr>
            <sz val="8"/>
            <color indexed="81"/>
            <rFont val="Tahoma"/>
            <family val="2"/>
          </rPr>
          <t>'SD1' is the design spectral response acceleration at 1-second period</t>
        </r>
      </text>
    </comment>
    <comment ref="C55" authorId="3">
      <text>
        <r>
          <rPr>
            <b/>
            <sz val="8"/>
            <color indexed="81"/>
            <rFont val="Tahoma"/>
            <family val="2"/>
          </rPr>
          <t xml:space="preserve">                      ASCE 7-10 TABLE 11.6-1
            SEISMIC DESIGN CATEGORY BASED ON
</t>
        </r>
        <r>
          <rPr>
            <b/>
            <u/>
            <sz val="8"/>
            <color indexed="81"/>
            <rFont val="Tahoma"/>
            <family val="2"/>
          </rPr>
          <t xml:space="preserve">        SHORT-PERIOD RESPONSE ACCELERATIONS           </t>
        </r>
        <r>
          <rPr>
            <b/>
            <sz val="8"/>
            <color indexed="81"/>
            <rFont val="Tahoma"/>
            <family val="2"/>
          </rPr>
          <t xml:space="preserve"> </t>
        </r>
        <r>
          <rPr>
            <sz val="8"/>
            <color indexed="81"/>
            <rFont val="Tahoma"/>
            <family val="2"/>
          </rPr>
          <t xml:space="preserve">
                                                      OCCUPANCY  CATEGORY
</t>
        </r>
        <r>
          <rPr>
            <u/>
            <sz val="8"/>
            <color indexed="81"/>
            <rFont val="Tahoma"/>
            <family val="2"/>
          </rPr>
          <t xml:space="preserve">       VALUE OF SDS                            I or II     III         IV        </t>
        </r>
        <r>
          <rPr>
            <sz val="8"/>
            <color indexed="81"/>
            <rFont val="Tahoma"/>
            <family val="2"/>
          </rPr>
          <t xml:space="preserve">       
SDS &lt; 0.167g                                       A          A          A
0.167g &lt;= SDS &lt; 0.33g                       B          B          C
0.33g &lt;= SDS &lt; 0.50g                         C         C           D
</t>
        </r>
        <r>
          <rPr>
            <u/>
            <sz val="8"/>
            <color indexed="81"/>
            <rFont val="Tahoma"/>
            <family val="2"/>
          </rPr>
          <t xml:space="preserve">0.50g &lt;= SDS                                       D         D           D      </t>
        </r>
        <r>
          <rPr>
            <sz val="8"/>
            <color indexed="81"/>
            <rFont val="Tahoma"/>
            <family val="2"/>
          </rPr>
          <t xml:space="preserve">
                       </t>
        </r>
      </text>
    </comment>
    <comment ref="C56" authorId="3">
      <text>
        <r>
          <rPr>
            <b/>
            <sz val="8"/>
            <color indexed="81"/>
            <rFont val="Tahoma"/>
            <family val="2"/>
          </rPr>
          <t xml:space="preserve">                      ASCE 7-10 TABLE 11.6-2
            SEISMIC DESIGN CATEGORY BASED ON
</t>
        </r>
        <r>
          <rPr>
            <b/>
            <u/>
            <sz val="8"/>
            <color indexed="81"/>
            <rFont val="Tahoma"/>
            <family val="2"/>
          </rPr>
          <t xml:space="preserve">     1-SECOND PERIOD RESPONSE ACCELERATIONS           </t>
        </r>
        <r>
          <rPr>
            <b/>
            <sz val="8"/>
            <color indexed="81"/>
            <rFont val="Tahoma"/>
            <family val="2"/>
          </rPr>
          <t xml:space="preserve"> </t>
        </r>
        <r>
          <rPr>
            <sz val="8"/>
            <color indexed="81"/>
            <rFont val="Tahoma"/>
            <family val="2"/>
          </rPr>
          <t xml:space="preserve">
                                                      OCCUPANCY  CATEGORY
</t>
        </r>
        <r>
          <rPr>
            <u/>
            <sz val="8"/>
            <color indexed="81"/>
            <rFont val="Tahoma"/>
            <family val="2"/>
          </rPr>
          <t xml:space="preserve">       VALUE OF SD1                            I or II     III         IV        </t>
        </r>
        <r>
          <rPr>
            <sz val="8"/>
            <color indexed="81"/>
            <rFont val="Tahoma"/>
            <family val="2"/>
          </rPr>
          <t xml:space="preserve">       
SD1 &lt; 0.067g                                       A          A          A
0.067g &lt;= SD1 &lt; 0.133g                     B          B          C
0.133g &lt;= SD1 &lt; 0.20g                       C         C          D
</t>
        </r>
        <r>
          <rPr>
            <u/>
            <sz val="8"/>
            <color indexed="81"/>
            <rFont val="Tahoma"/>
            <family val="2"/>
          </rPr>
          <t>0.20g &lt;= SD1                                       D</t>
        </r>
        <r>
          <rPr>
            <i/>
            <u/>
            <sz val="8"/>
            <color indexed="81"/>
            <rFont val="Tahoma"/>
            <family val="2"/>
          </rPr>
          <t>(a)</t>
        </r>
        <r>
          <rPr>
            <u/>
            <sz val="8"/>
            <color indexed="81"/>
            <rFont val="Tahoma"/>
            <family val="2"/>
          </rPr>
          <t xml:space="preserve">     D</t>
        </r>
        <r>
          <rPr>
            <i/>
            <u/>
            <sz val="8"/>
            <color indexed="81"/>
            <rFont val="Tahoma"/>
            <family val="2"/>
          </rPr>
          <t>(a)</t>
        </r>
        <r>
          <rPr>
            <u/>
            <sz val="8"/>
            <color indexed="81"/>
            <rFont val="Tahoma"/>
            <family val="2"/>
          </rPr>
          <t xml:space="preserve">   D</t>
        </r>
        <r>
          <rPr>
            <i/>
            <u/>
            <sz val="8"/>
            <color indexed="81"/>
            <rFont val="Tahoma"/>
            <family val="2"/>
          </rPr>
          <t>(a)</t>
        </r>
        <r>
          <rPr>
            <u/>
            <sz val="8"/>
            <color indexed="81"/>
            <rFont val="Tahoma"/>
            <family val="2"/>
          </rPr>
          <t xml:space="preserve">      </t>
        </r>
        <r>
          <rPr>
            <sz val="8"/>
            <color indexed="81"/>
            <rFont val="Tahoma"/>
            <family val="2"/>
          </rPr>
          <t xml:space="preserve">
Note from Section 1613.5.6:      
        Structures classified as Occupancy Category I, II, or III 
        that are located where the mapped spectral response 
        acceleration at 1-second period, S1, is greater than or
        equal to 0.75g shall be assigned to Seismic Design
        Category E.  Structures classified as Occupancy 
        Category IV that are located where the mapped 
        spectral response acceleration at 1-second period, S1,
        is greater than or equal to 0.75g shall be assigned to 
        Seismic Design Category F.    </t>
        </r>
      </text>
    </comment>
    <comment ref="C57" authorId="3">
      <text>
        <r>
          <rPr>
            <sz val="8"/>
            <color indexed="81"/>
            <rFont val="Tahoma"/>
            <family val="2"/>
          </rPr>
          <t>Seismic Design Category to be used shall be the the highest (most critical) category</t>
        </r>
      </text>
    </comment>
    <comment ref="C61" authorId="1">
      <text>
        <r>
          <rPr>
            <sz val="8"/>
            <color indexed="81"/>
            <rFont val="Tahoma"/>
            <family val="2"/>
          </rPr>
          <t>The Deflection Amplification Factor, "Cd", is determined from ASCE 7-10 Table 12.2-1.</t>
        </r>
      </text>
    </comment>
    <comment ref="E68" authorId="1">
      <text>
        <r>
          <rPr>
            <sz val="8"/>
            <color indexed="81"/>
            <rFont val="Tahoma"/>
            <family val="2"/>
          </rPr>
          <t xml:space="preserve">Actual amplified story drift is determined as follows:
1.  Amplified story deflection at story "x":
         </t>
        </r>
        <r>
          <rPr>
            <sz val="8"/>
            <color indexed="81"/>
            <rFont val="Symbol"/>
            <family val="1"/>
            <charset val="2"/>
          </rPr>
          <t>d</t>
        </r>
        <r>
          <rPr>
            <sz val="8"/>
            <color indexed="81"/>
            <rFont val="Tahoma"/>
            <family val="2"/>
          </rPr>
          <t>xn = Cd*</t>
        </r>
        <r>
          <rPr>
            <sz val="8"/>
            <color indexed="81"/>
            <rFont val="Symbol"/>
            <family val="1"/>
            <charset val="2"/>
          </rPr>
          <t>d</t>
        </r>
        <r>
          <rPr>
            <sz val="8"/>
            <color indexed="81"/>
            <rFont val="Tahoma"/>
            <family val="2"/>
          </rPr>
          <t xml:space="preserve">xe/I
2.  Amplified story deflection at story below, "x-1":
         </t>
        </r>
        <r>
          <rPr>
            <sz val="8"/>
            <color indexed="81"/>
            <rFont val="Symbol"/>
            <family val="1"/>
            <charset val="2"/>
          </rPr>
          <t>d</t>
        </r>
        <r>
          <rPr>
            <sz val="8"/>
            <color indexed="81"/>
            <rFont val="Tahoma"/>
            <family val="2"/>
          </rPr>
          <t>(x-1) = Cd*</t>
        </r>
        <r>
          <rPr>
            <sz val="8"/>
            <color indexed="81"/>
            <rFont val="Symbol"/>
            <family val="1"/>
            <charset val="2"/>
          </rPr>
          <t>d</t>
        </r>
        <r>
          <rPr>
            <sz val="8"/>
            <color indexed="81"/>
            <rFont val="Tahoma"/>
            <family val="2"/>
          </rPr>
          <t xml:space="preserve">(x-1)e/I
3.  Actual amplified drift at story "x":
         </t>
        </r>
        <r>
          <rPr>
            <sz val="8"/>
            <color indexed="81"/>
            <rFont val="Symbol"/>
            <family val="1"/>
            <charset val="2"/>
          </rPr>
          <t>D</t>
        </r>
        <r>
          <rPr>
            <sz val="8"/>
            <color indexed="81"/>
            <rFont val="Tahoma"/>
            <family val="2"/>
          </rPr>
          <t xml:space="preserve">x = </t>
        </r>
        <r>
          <rPr>
            <sz val="8"/>
            <color indexed="81"/>
            <rFont val="Symbol"/>
            <family val="1"/>
            <charset val="2"/>
          </rPr>
          <t>d</t>
        </r>
        <r>
          <rPr>
            <sz val="8"/>
            <color indexed="81"/>
            <rFont val="Tahoma"/>
            <family val="2"/>
          </rPr>
          <t xml:space="preserve">x - </t>
        </r>
        <r>
          <rPr>
            <sz val="8"/>
            <color indexed="81"/>
            <rFont val="Symbol"/>
            <family val="1"/>
            <charset val="2"/>
          </rPr>
          <t>d</t>
        </r>
        <r>
          <rPr>
            <sz val="8"/>
            <color indexed="81"/>
            <rFont val="Tahoma"/>
            <family val="2"/>
          </rPr>
          <t>(x-1)</t>
        </r>
      </text>
    </comment>
    <comment ref="F68" authorId="1">
      <text>
        <r>
          <rPr>
            <sz val="8"/>
            <color indexed="81"/>
            <rFont val="Tahoma"/>
            <family val="2"/>
          </rPr>
          <t xml:space="preserve">Actual amplified drift ratio is determined as follows:
  D.R. = </t>
        </r>
        <r>
          <rPr>
            <sz val="8"/>
            <color indexed="81"/>
            <rFont val="Symbol"/>
            <family val="1"/>
            <charset val="2"/>
          </rPr>
          <t>D</t>
        </r>
        <r>
          <rPr>
            <sz val="8"/>
            <color indexed="81"/>
            <rFont val="Tahoma"/>
            <family val="2"/>
          </rPr>
          <t xml:space="preserve">x/(hsx*12)
</t>
        </r>
      </text>
    </comment>
    <comment ref="G68" authorId="1">
      <text>
        <r>
          <rPr>
            <b/>
            <sz val="8"/>
            <color indexed="81"/>
            <rFont val="Tahoma"/>
            <family val="2"/>
          </rPr>
          <t xml:space="preserve">                                             ASCE 7-10 - TABLE 12.12-1</t>
        </r>
        <r>
          <rPr>
            <sz val="8"/>
            <color indexed="81"/>
            <rFont val="Tahoma"/>
            <family val="2"/>
          </rPr>
          <t xml:space="preserve">
</t>
        </r>
        <r>
          <rPr>
            <u/>
            <sz val="8"/>
            <color indexed="81"/>
            <rFont val="Tahoma"/>
            <family val="2"/>
          </rPr>
          <t xml:space="preserve">                                   </t>
        </r>
        <r>
          <rPr>
            <b/>
            <u/>
            <sz val="8"/>
            <color indexed="81"/>
            <rFont val="Tahoma"/>
            <family val="2"/>
          </rPr>
          <t xml:space="preserve">ALLOWABLE STORY DRIFT, </t>
        </r>
        <r>
          <rPr>
            <b/>
            <u/>
            <sz val="10"/>
            <color indexed="81"/>
            <rFont val="Symbol"/>
            <family val="1"/>
            <charset val="2"/>
          </rPr>
          <t>D</t>
        </r>
        <r>
          <rPr>
            <b/>
            <u/>
            <sz val="8"/>
            <color indexed="81"/>
            <rFont val="Tahoma"/>
            <family val="2"/>
          </rPr>
          <t xml:space="preserve">a (inches)                                         </t>
        </r>
        <r>
          <rPr>
            <sz val="8"/>
            <color indexed="81"/>
            <rFont val="Tahoma"/>
            <family val="2"/>
          </rPr>
          <t xml:space="preserve">
             </t>
        </r>
        <r>
          <rPr>
            <b/>
            <sz val="8"/>
            <color indexed="81"/>
            <rFont val="Tahoma"/>
            <family val="2"/>
          </rPr>
          <t xml:space="preserve"> Structure</t>
        </r>
        <r>
          <rPr>
            <sz val="8"/>
            <color indexed="81"/>
            <rFont val="Tahoma"/>
            <family val="2"/>
          </rPr>
          <t xml:space="preserve">                                                    </t>
        </r>
        <r>
          <rPr>
            <b/>
            <sz val="8"/>
            <color indexed="81"/>
            <rFont val="Tahoma"/>
            <family val="2"/>
          </rPr>
          <t>Occupancy Category</t>
        </r>
        <r>
          <rPr>
            <sz val="8"/>
            <color indexed="81"/>
            <rFont val="Tahoma"/>
            <family val="2"/>
          </rPr>
          <t xml:space="preserve">
</t>
        </r>
        <r>
          <rPr>
            <b/>
            <u/>
            <sz val="8"/>
            <color indexed="81"/>
            <rFont val="Tahoma"/>
            <family val="2"/>
          </rPr>
          <t xml:space="preserve">                                                                         I or II               III                     IV     </t>
        </r>
        <r>
          <rPr>
            <u/>
            <sz val="8"/>
            <color indexed="81"/>
            <rFont val="Tahoma"/>
            <family val="2"/>
          </rPr>
          <t xml:space="preserve"> </t>
        </r>
        <r>
          <rPr>
            <sz val="8"/>
            <color indexed="81"/>
            <rFont val="Tahoma"/>
            <family val="2"/>
          </rPr>
          <t xml:space="preserve">
Structures, other than masonry shear
structures, &lt;= 4 stories designed to           0.025*hsx       0.020*hsx       0.015*hsx
accommodate the story drifts                      </t>
        </r>
        <r>
          <rPr>
            <sz val="8"/>
            <color indexed="10"/>
            <rFont val="Tahoma"/>
            <family val="2"/>
          </rPr>
          <t>(Not Used)</t>
        </r>
        <r>
          <rPr>
            <sz val="8"/>
            <color indexed="81"/>
            <rFont val="Tahoma"/>
            <family val="2"/>
          </rPr>
          <t xml:space="preserve">       </t>
        </r>
        <r>
          <rPr>
            <sz val="8"/>
            <color indexed="10"/>
            <rFont val="Tahoma"/>
            <family val="2"/>
          </rPr>
          <t>(Not Used)</t>
        </r>
        <r>
          <rPr>
            <sz val="8"/>
            <color indexed="81"/>
            <rFont val="Tahoma"/>
            <family val="2"/>
          </rPr>
          <t xml:space="preserve">       </t>
        </r>
        <r>
          <rPr>
            <sz val="8"/>
            <color indexed="10"/>
            <rFont val="Tahoma"/>
            <family val="2"/>
          </rPr>
          <t>(Not Used)</t>
        </r>
        <r>
          <rPr>
            <sz val="8"/>
            <color indexed="81"/>
            <rFont val="Tahoma"/>
            <family val="2"/>
          </rPr>
          <t xml:space="preserve">    </t>
        </r>
        <r>
          <rPr>
            <u/>
            <sz val="8"/>
            <color indexed="81"/>
            <rFont val="Tahoma"/>
            <family val="2"/>
          </rPr>
          <t xml:space="preserve">                                                                                               </t>
        </r>
        <r>
          <rPr>
            <sz val="8"/>
            <color indexed="81"/>
            <rFont val="Tahoma"/>
            <family val="2"/>
          </rPr>
          <t xml:space="preserve">
</t>
        </r>
        <r>
          <rPr>
            <u/>
            <sz val="8"/>
            <color indexed="81"/>
            <rFont val="Tahoma"/>
            <family val="2"/>
          </rPr>
          <t xml:space="preserve">Masonry cantilever shear wall structures     0.010*hsx       0.010*hsx       0.010*hsx 
Other masonry shear wall structures           0.007*hsx       0.007*hsx       0.007*hsx </t>
        </r>
        <r>
          <rPr>
            <sz val="8"/>
            <color indexed="81"/>
            <rFont val="Tahoma"/>
            <family val="2"/>
          </rPr>
          <t xml:space="preserve">
</t>
        </r>
        <r>
          <rPr>
            <u/>
            <sz val="8"/>
            <color indexed="81"/>
            <rFont val="Tahoma"/>
            <family val="2"/>
          </rPr>
          <t xml:space="preserve">All other structures                                       0.020*hsx       0.015*hsx       0.010*hsx </t>
        </r>
        <r>
          <rPr>
            <sz val="8"/>
            <color indexed="81"/>
            <rFont val="Tahoma"/>
            <family val="2"/>
          </rPr>
          <t xml:space="preserve">
hsx = story height below Level x.
</t>
        </r>
        <r>
          <rPr>
            <u/>
            <sz val="8"/>
            <color indexed="10"/>
            <rFont val="Tahoma"/>
            <family val="2"/>
          </rPr>
          <t>Note:</t>
        </r>
        <r>
          <rPr>
            <sz val="8"/>
            <color indexed="10"/>
            <rFont val="Tahoma"/>
            <family val="2"/>
          </rPr>
          <t xml:space="preserve">  allowable story drift parameters for the first category of structures listed 
           above is NOT used by this worksheet.</t>
        </r>
      </text>
    </comment>
    <comment ref="H68" authorId="1">
      <text>
        <r>
          <rPr>
            <sz val="8"/>
            <color indexed="81"/>
            <rFont val="Tahoma"/>
            <family val="2"/>
          </rPr>
          <t xml:space="preserve">Allowable amplified drift ratio is determined as follows:
  D.R. = </t>
        </r>
        <r>
          <rPr>
            <sz val="8"/>
            <color indexed="81"/>
            <rFont val="Symbol"/>
            <family val="1"/>
            <charset val="2"/>
          </rPr>
          <t>D</t>
        </r>
        <r>
          <rPr>
            <sz val="8"/>
            <color indexed="81"/>
            <rFont val="Tahoma"/>
            <family val="2"/>
          </rPr>
          <t xml:space="preserve">a/(hsx*12)
    where: </t>
        </r>
        <r>
          <rPr>
            <sz val="8"/>
            <color indexed="81"/>
            <rFont val="Symbol"/>
            <family val="1"/>
            <charset val="2"/>
          </rPr>
          <t>D</t>
        </r>
        <r>
          <rPr>
            <sz val="8"/>
            <color indexed="81"/>
            <rFont val="Tahoma"/>
            <family val="2"/>
          </rPr>
          <t>a  = allowable drift from ASCE 7-10 Table 12.12-1</t>
        </r>
      </text>
    </comment>
  </commentList>
</comments>
</file>

<file path=xl/comments3.xml><?xml version="1.0" encoding="utf-8"?>
<comments xmlns="http://schemas.openxmlformats.org/spreadsheetml/2006/main">
  <authors>
    <author>David Taylor</author>
    <author>Alex Tomanovich</author>
    <author xml:space="preserve"> </author>
    <author>David</author>
    <author>Alex Tomanovich, P.E.</author>
  </authors>
  <commentList>
    <comment ref="AH1" authorId="0">
      <text>
        <r>
          <rPr>
            <b/>
            <sz val="9"/>
            <color indexed="81"/>
            <rFont val="Tahoma"/>
            <family val="2"/>
          </rPr>
          <t xml:space="preserve">"ASCE710E.xls"
</t>
        </r>
        <r>
          <rPr>
            <sz val="9"/>
            <color indexed="81"/>
            <rFont val="Tahoma"/>
            <family val="2"/>
          </rPr>
          <t>Original version</t>
        </r>
        <r>
          <rPr>
            <b/>
            <sz val="9"/>
            <color indexed="81"/>
            <rFont val="Tahoma"/>
            <family val="2"/>
          </rPr>
          <t xml:space="preserve"> </t>
        </r>
        <r>
          <rPr>
            <sz val="9"/>
            <color indexed="81"/>
            <rFont val="Tahoma"/>
            <family val="2"/>
          </rPr>
          <t>("IBC2009E.xls")</t>
        </r>
        <r>
          <rPr>
            <b/>
            <sz val="9"/>
            <color indexed="81"/>
            <rFont val="Tahoma"/>
            <family val="2"/>
          </rPr>
          <t xml:space="preserve"> </t>
        </r>
        <r>
          <rPr>
            <sz val="9"/>
            <color indexed="81"/>
            <rFont val="Tahoma"/>
            <family val="2"/>
          </rPr>
          <t>written by:  Alex Tomanovich, P.E.
Modified by: David Taylor, P.E.</t>
        </r>
      </text>
    </comment>
    <comment ref="C8" authorId="1">
      <text>
        <r>
          <rPr>
            <b/>
            <sz val="8"/>
            <color indexed="81"/>
            <rFont val="Tahoma"/>
            <family val="2"/>
          </rPr>
          <t xml:space="preserve">                                                                        IBC 2012 TABLE 1604.5</t>
        </r>
        <r>
          <rPr>
            <b/>
            <u/>
            <sz val="8"/>
            <color indexed="81"/>
            <rFont val="Tahoma"/>
            <family val="2"/>
          </rPr>
          <t xml:space="preserve">
                                         Risk Category of Buildings and Other Structures                                                      </t>
        </r>
        <r>
          <rPr>
            <sz val="8"/>
            <color indexed="81"/>
            <rFont val="Tahoma"/>
            <family val="2"/>
          </rPr>
          <t xml:space="preserve">                                                                                                     
</t>
        </r>
        <r>
          <rPr>
            <b/>
            <u/>
            <sz val="8"/>
            <color indexed="81"/>
            <rFont val="Tahoma"/>
            <family val="2"/>
          </rPr>
          <t>Nature of Occupancy                                                                                                                      Risk Category</t>
        </r>
        <r>
          <rPr>
            <sz val="8"/>
            <color indexed="81"/>
            <rFont val="Tahoma"/>
            <family val="2"/>
          </rPr>
          <t xml:space="preserve">
Buildings and structures that represent a low hazard to human life in the event of failure                                    I
including, but not limited to:
     - Agriculture facilities.                                                                                                             
     - Certain temporary facilities.
</t>
        </r>
        <r>
          <rPr>
            <u/>
            <sz val="8"/>
            <color indexed="81"/>
            <rFont val="Tahoma"/>
            <family val="2"/>
          </rPr>
          <t xml:space="preserve">     - Minor storage facilities.                                                                                                                                                         </t>
        </r>
        <r>
          <rPr>
            <sz val="8"/>
            <color indexed="81"/>
            <rFont val="Tahoma"/>
            <family val="2"/>
          </rPr>
          <t xml:space="preserve">       
</t>
        </r>
        <r>
          <rPr>
            <u/>
            <sz val="8"/>
            <color indexed="81"/>
            <rFont val="Tahoma"/>
            <family val="2"/>
          </rPr>
          <t xml:space="preserve">Buildings and other structures except those listed in Occupancy Categories I, III and IV                                     II                 </t>
        </r>
        <r>
          <rPr>
            <sz val="8"/>
            <color indexed="81"/>
            <rFont val="Tahoma"/>
            <family val="2"/>
          </rPr>
          <t xml:space="preserve">
Buildings and other structures that represent a substantial hazard to human life in the event of                        III      
failure, including but not limited to:
     - Buildings and other structures whose primary occupancy is public assembly with an 
       occupant load greater that 300.
     - Buildings and other structures containing elementary school, secondary school or day care
       facilities with and occupant load greater than 250.
     - Buildings and other structures containing adult education facilities, such as colleges and
       universities, with an occupant load greater than 500.
     - Group I-2 occupancies with an occupant load of 50 or more resident patients but not 
       having surgery or emergency treatment facilities.
     - Group I-3 occupancies.
     - Any other occupancy with an occupant load greater than 5,000 (a).
     - Power-generating stations, water treatment facilities for potable water, waste water 
       treatment facilities and other public utility facilities not included in Occupancy Category IV.
     - Buildings and other structures not included in Occupancy Category IV containing sufficient 
</t>
        </r>
        <r>
          <rPr>
            <u/>
            <sz val="8"/>
            <color indexed="81"/>
            <rFont val="Tahoma"/>
            <family val="2"/>
          </rPr>
          <t xml:space="preserve">       quantities of toxic or explosive substances to be dangerous to the public if released.                                                       </t>
        </r>
        <r>
          <rPr>
            <sz val="8"/>
            <color indexed="81"/>
            <rFont val="Tahoma"/>
            <family val="2"/>
          </rPr>
          <t xml:space="preserve">  </t>
        </r>
        <r>
          <rPr>
            <u/>
            <sz val="8"/>
            <color indexed="81"/>
            <rFont val="Tahoma"/>
            <family val="2"/>
          </rPr>
          <t xml:space="preserve">               </t>
        </r>
        <r>
          <rPr>
            <sz val="8"/>
            <color indexed="81"/>
            <rFont val="Tahoma"/>
            <family val="2"/>
          </rPr>
          <t xml:space="preserve">
Buildings and other structures designated as essential facilities, including but not limited to:                               IV
     - Group I-2 occupancies having surgery or emergency treatment facilities.
     - Fire, rescue, ambulance and police stations and emergency vehicle garages.
     - Designated earthquake, hurricane or other emergency shelters.
     - Designated emergency preparedness, communications and operations centers and other
       other facilities required for emergency response. 
     - Power-generating stations and other public utility facilities required as emergency backup 
       facilities for Occupancy Category IV structures.
     - Structures containing highly toxic materials as defined by Section 307 where the quantity 
       of the material exceeds the maximum allowable quantities of Table 307.1(2).
     - Aviation control towers, air traffic control centers and emergency aircraft hangars.
     - Buildings and other structures having critical national defense functions.
     - Water storage facilities and pump structures required to maintain water pressure for fire </t>
        </r>
        <r>
          <rPr>
            <u/>
            <sz val="8"/>
            <color indexed="81"/>
            <rFont val="Tahoma"/>
            <family val="2"/>
          </rPr>
          <t xml:space="preserve">
       suppression.                                                                                                                                                                          
</t>
        </r>
        <r>
          <rPr>
            <sz val="8"/>
            <color indexed="81"/>
            <rFont val="Tahoma"/>
            <family val="2"/>
          </rPr>
          <t>(a) For purposes of occupant load calculation,occupancies required by Table 1004.1.1 to use gross floor 
       area calculations shall be permitted to use net floor areas to determine the total occupant load.</t>
        </r>
      </text>
    </comment>
    <comment ref="C9" authorId="2">
      <text>
        <r>
          <rPr>
            <b/>
            <sz val="8"/>
            <color indexed="81"/>
            <rFont val="Tahoma"/>
            <family val="2"/>
          </rPr>
          <t xml:space="preserve">             ASCE 7-10 TABLE 1.5-1 
</t>
        </r>
        <r>
          <rPr>
            <b/>
            <u/>
            <sz val="8"/>
            <color indexed="81"/>
            <rFont val="Tahoma"/>
            <family val="2"/>
          </rPr>
          <t xml:space="preserve">              IMPORTANCE FACTORS                 </t>
        </r>
        <r>
          <rPr>
            <b/>
            <sz val="8"/>
            <color indexed="81"/>
            <rFont val="Tahoma"/>
            <family val="2"/>
          </rPr>
          <t xml:space="preserve">
</t>
        </r>
        <r>
          <rPr>
            <u/>
            <sz val="8"/>
            <color indexed="81"/>
            <rFont val="Tahoma"/>
            <family val="2"/>
          </rPr>
          <t xml:space="preserve">Occupancy Category                             I         </t>
        </r>
        <r>
          <rPr>
            <sz val="8"/>
            <color indexed="81"/>
            <rFont val="Tahoma"/>
            <family val="2"/>
          </rPr>
          <t xml:space="preserve">
          I or II                                          1.0
             III                                            1.25
             IV                                             1.5
</t>
        </r>
      </text>
    </comment>
    <comment ref="C10" authorId="1">
      <text>
        <r>
          <rPr>
            <sz val="8"/>
            <color indexed="81"/>
            <rFont val="Tahoma"/>
            <family val="2"/>
          </rPr>
          <t xml:space="preserve">                                                                                       </t>
        </r>
        <r>
          <rPr>
            <b/>
            <sz val="8"/>
            <color indexed="81"/>
            <rFont val="Tahoma"/>
            <family val="2"/>
          </rPr>
          <t xml:space="preserve">ASCE 7-10 TABLE 20.3-1
</t>
        </r>
        <r>
          <rPr>
            <b/>
            <u/>
            <sz val="8"/>
            <color indexed="81"/>
            <rFont val="Tahoma"/>
            <family val="2"/>
          </rPr>
          <t xml:space="preserve">                                                                                        SITE CLASSIFICATION                                                                                         </t>
        </r>
        <r>
          <rPr>
            <sz val="8"/>
            <color indexed="81"/>
            <rFont val="Tahoma"/>
            <family val="2"/>
          </rPr>
          <t xml:space="preserve">
                                                                    Soil Shear Wave                         Standard Penetration                              Soil Undrained 
</t>
        </r>
        <r>
          <rPr>
            <u/>
            <sz val="8"/>
            <color indexed="81"/>
            <rFont val="Tahoma"/>
            <family val="2"/>
          </rPr>
          <t xml:space="preserve">   SITE CLASS                                             Velocity, vs, (ft/s)                              Resistance, N                           Shear Strength ,su, (psf)  </t>
        </r>
        <r>
          <rPr>
            <sz val="8"/>
            <color indexed="81"/>
            <rFont val="Tahoma"/>
            <family val="2"/>
          </rPr>
          <t xml:space="preserve"> 
</t>
        </r>
        <r>
          <rPr>
            <u/>
            <sz val="8"/>
            <color indexed="81"/>
            <rFont val="Tahoma"/>
            <family val="2"/>
          </rPr>
          <t xml:space="preserve">   A.        Hard Rock                                          vs &gt; 5000                                 Not Applicable                                   Not Applicable              </t>
        </r>
        <r>
          <rPr>
            <sz val="8"/>
            <color indexed="81"/>
            <rFont val="Tahoma"/>
            <family val="2"/>
          </rPr>
          <t xml:space="preserve">     
</t>
        </r>
        <r>
          <rPr>
            <u/>
            <sz val="8"/>
            <color indexed="81"/>
            <rFont val="Tahoma"/>
            <family val="2"/>
          </rPr>
          <t xml:space="preserve">   B          Rock                                          2500 &lt;= vs &lt;= 5000                         Not Applicable                                   Not Applicable            </t>
        </r>
        <r>
          <rPr>
            <sz val="8"/>
            <color indexed="81"/>
            <rFont val="Tahoma"/>
            <family val="2"/>
          </rPr>
          <t xml:space="preserve">    
</t>
        </r>
        <r>
          <rPr>
            <u/>
            <sz val="8"/>
            <color indexed="81"/>
            <rFont val="Tahoma"/>
            <family val="2"/>
          </rPr>
          <t xml:space="preserve">   C.        Very Dense Soil &amp; Soft Rock      1200 &lt;= vs &lt;= 2500                              N &gt; 50                                            su &gt; 2000                </t>
        </r>
        <r>
          <rPr>
            <sz val="8"/>
            <color indexed="81"/>
            <rFont val="Tahoma"/>
            <family val="2"/>
          </rPr>
          <t xml:space="preserve">       
</t>
        </r>
        <r>
          <rPr>
            <u/>
            <sz val="8"/>
            <color indexed="81"/>
            <rFont val="Tahoma"/>
            <family val="2"/>
          </rPr>
          <t xml:space="preserve">   D.        Stiff Soil                                     600 &lt;= vs &lt;= 1200                         15 &lt;= N &lt;= 50                           1000 &lt;= su &lt;= 2000        </t>
        </r>
        <r>
          <rPr>
            <sz val="8"/>
            <color indexed="81"/>
            <rFont val="Tahoma"/>
            <family val="2"/>
          </rPr>
          <t xml:space="preserve">
   E.        Soft Clay Soil                                     vs &lt; 600                                       N &lt; 15                                             su &lt; 1000                           
                                                                           Any profile  with more than 10 feet of soil having the following characteristics:
                                                                              1. Plasticity Index, PI &gt; 20
                                                                              2. Moisture Content, w &gt;= 40% and
</t>
        </r>
        <r>
          <rPr>
            <u/>
            <sz val="8"/>
            <color indexed="81"/>
            <rFont val="Tahoma"/>
            <family val="2"/>
          </rPr>
          <t xml:space="preserve">                                                                              3. Undrained shear strength, su &lt; 500 psf                                                                      </t>
        </r>
        <r>
          <rPr>
            <sz val="8"/>
            <color indexed="81"/>
            <rFont val="Tahoma"/>
            <family val="2"/>
          </rPr>
          <t xml:space="preserve">                                                                
   F              Soils requiring site response           See Section 20.3.1
                   analysis per Section 21.1
                                                                                                                    </t>
        </r>
      </text>
    </comment>
    <comment ref="C12" authorId="2">
      <text>
        <r>
          <rPr>
            <b/>
            <u/>
            <sz val="8"/>
            <color indexed="10"/>
            <rFont val="Tahoma"/>
            <family val="2"/>
          </rPr>
          <t>Note:</t>
        </r>
        <r>
          <rPr>
            <b/>
            <sz val="8"/>
            <color indexed="10"/>
            <rFont val="Tahoma"/>
            <family val="2"/>
          </rPr>
          <t xml:space="preserve">
Per API 650 Appendix E Section E.1, tanks located in regions where both Ss &lt;= 0.15 and S1 &lt;= 0.04 need not be designed for seismic forces.</t>
        </r>
      </text>
    </comment>
    <comment ref="C13" authorId="2">
      <text>
        <r>
          <rPr>
            <b/>
            <u/>
            <sz val="8"/>
            <color indexed="10"/>
            <rFont val="Tahoma"/>
            <family val="2"/>
          </rPr>
          <t>Note:</t>
        </r>
        <r>
          <rPr>
            <b/>
            <sz val="8"/>
            <color indexed="10"/>
            <rFont val="Tahoma"/>
            <family val="2"/>
          </rPr>
          <t xml:space="preserve">
Per API 650 Appendix E Section E.1, tanks located in regions where both Ss &lt;= 0.15 and S1 &lt;= 0.04 need not be designed for seismic forces.</t>
        </r>
      </text>
    </comment>
    <comment ref="C14" authorId="2">
      <text>
        <r>
          <rPr>
            <sz val="8"/>
            <color indexed="81"/>
            <rFont val="Tahoma"/>
            <family val="2"/>
          </rPr>
          <t>For tanks in Occupancy Categories I - III, the value of 'TL' is permitted to be set equal to 4 seconds for the purpose of sloshing calculation per Note d of Section 15.7.6.1 of the ASCE 7-10 Code.</t>
        </r>
      </text>
    </comment>
    <comment ref="C18" authorId="2">
      <text>
        <r>
          <rPr>
            <sz val="8"/>
            <color indexed="81"/>
            <rFont val="Tahoma"/>
            <family val="2"/>
          </rPr>
          <t>Typical tank material densities are: steel = 490 pcf, aluminum = 165 pcf, FRP (fiberglass) = 100 to 125 pcf.
Note: tank shell and bottom are assumed of same material.</t>
        </r>
      </text>
    </comment>
    <comment ref="C20" authorId="3">
      <text>
        <r>
          <rPr>
            <sz val="8"/>
            <color indexed="81"/>
            <rFont val="Tahoma"/>
            <family val="2"/>
          </rPr>
          <t>Roof Weight (Wr) is the total weight of fixed tank roof including framing, knuckles, any permanent attachments, and 10% of the roof design snow load.</t>
        </r>
      </text>
    </comment>
    <comment ref="C32" authorId="4">
      <text>
        <r>
          <rPr>
            <b/>
            <sz val="8"/>
            <color indexed="81"/>
            <rFont val="Tahoma"/>
            <family val="2"/>
          </rPr>
          <t xml:space="preserve">                                                   ASCE 7-10 TABLE 11.4-1
                 VALUES OF SITE COEFFICIENT, Fa, AS A FUNCTION OF SITE CLASS
</t>
        </r>
        <r>
          <rPr>
            <b/>
            <u/>
            <sz val="8"/>
            <color indexed="81"/>
            <rFont val="Tahoma"/>
            <family val="2"/>
          </rPr>
          <t xml:space="preserve">     AND MAPPED SPECTRAL RESPONSE ACCELERATION AT SHORT PERIODS (Ss)</t>
        </r>
        <r>
          <rPr>
            <b/>
            <i/>
            <u/>
            <sz val="8"/>
            <color indexed="81"/>
            <rFont val="Tahoma"/>
            <family val="2"/>
          </rPr>
          <t>(a)</t>
        </r>
        <r>
          <rPr>
            <b/>
            <u/>
            <sz val="8"/>
            <color indexed="81"/>
            <rFont val="Tahoma"/>
            <family val="2"/>
          </rPr>
          <t xml:space="preserve">     </t>
        </r>
        <r>
          <rPr>
            <b/>
            <sz val="8"/>
            <color indexed="81"/>
            <rFont val="Tahoma"/>
            <family val="2"/>
          </rPr>
          <t xml:space="preserve">
</t>
        </r>
        <r>
          <rPr>
            <sz val="8"/>
            <color indexed="81"/>
            <rFont val="Tahoma"/>
            <family val="2"/>
          </rPr>
          <t xml:space="preserve">  SITE                       MAPPED SPECTRAL RESPONSE ACCELERATION AT SHORT PERIODS
</t>
        </r>
        <r>
          <rPr>
            <u/>
            <sz val="8"/>
            <color indexed="81"/>
            <rFont val="Tahoma"/>
            <family val="2"/>
          </rPr>
          <t xml:space="preserve">CLASS             Ss&lt;=0.25g           Ss=0.50g            Ss=0.75g            Ss=1.00g            Ss&gt;=1.25g </t>
        </r>
        <r>
          <rPr>
            <b/>
            <u/>
            <sz val="8"/>
            <color indexed="81"/>
            <rFont val="Tahoma"/>
            <family val="2"/>
          </rPr>
          <t xml:space="preserve">
</t>
        </r>
        <r>
          <rPr>
            <sz val="8"/>
            <color indexed="81"/>
            <rFont val="Tahoma"/>
            <family val="2"/>
          </rPr>
          <t xml:space="preserve">    A                        0.8                       0.8                      0.8                       0.8                      0.8
    B                        1.0                       1.0                      1.0                       1.0                      1.0
    C                        1.2                       1.2                      1.1                       1.0                      1.0
    D                        1.6                       1.4                      1.2                       1.1                      1.0
    E                        2.5                       1.7                      1.2                       0.9                      0.9
    F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t>
        </r>
        <r>
          <rPr>
            <i/>
            <sz val="8"/>
            <color indexed="81"/>
            <rFont val="Tahoma"/>
            <family val="2"/>
          </rPr>
          <t>(a)</t>
        </r>
        <r>
          <rPr>
            <sz val="8"/>
            <color indexed="81"/>
            <rFont val="Tahoma"/>
            <family val="2"/>
          </rPr>
          <t xml:space="preserve"> - Use straight line interpolation for intermediate values of mapped spectral acceleration at 
        short period, Ss.
</t>
        </r>
        <r>
          <rPr>
            <i/>
            <sz val="8"/>
            <color indexed="81"/>
            <rFont val="Tahoma"/>
            <family val="2"/>
          </rPr>
          <t>(b)</t>
        </r>
        <r>
          <rPr>
            <sz val="8"/>
            <color indexed="81"/>
            <rFont val="Tahoma"/>
            <family val="2"/>
          </rPr>
          <t xml:space="preserve"> - Site-specific geotechnical investigation and dynamic site response analyses shall be 
        performed to determine appropriate values.  See ASCE 7-05 Section 11.4.7.
</t>
        </r>
      </text>
    </comment>
    <comment ref="C33" authorId="4">
      <text>
        <r>
          <rPr>
            <b/>
            <sz val="8"/>
            <color indexed="81"/>
            <rFont val="Tahoma"/>
            <family val="2"/>
          </rPr>
          <t xml:space="preserve">                                                   ASCE TABLE 11.4-2
                 VALUES OF SITE COEFFICIENT, Fv, AS A FUNCTION OF SITE CLASS
</t>
        </r>
        <r>
          <rPr>
            <b/>
            <u/>
            <sz val="8"/>
            <color indexed="81"/>
            <rFont val="Tahoma"/>
            <family val="2"/>
          </rPr>
          <t xml:space="preserve">    AND MAPPED SPECTRAL RESPONSE ACCELERATION AT 1 SECOND PERIOD (S1)</t>
        </r>
        <r>
          <rPr>
            <b/>
            <i/>
            <u/>
            <sz val="8"/>
            <color indexed="81"/>
            <rFont val="Tahoma"/>
            <family val="2"/>
          </rPr>
          <t>(a)</t>
        </r>
        <r>
          <rPr>
            <b/>
            <u/>
            <sz val="8"/>
            <color indexed="81"/>
            <rFont val="Tahoma"/>
            <family val="2"/>
          </rPr>
          <t xml:space="preserve">    </t>
        </r>
        <r>
          <rPr>
            <b/>
            <sz val="8"/>
            <color indexed="81"/>
            <rFont val="Tahoma"/>
            <family val="2"/>
          </rPr>
          <t xml:space="preserve">
</t>
        </r>
        <r>
          <rPr>
            <sz val="8"/>
            <color indexed="81"/>
            <rFont val="Tahoma"/>
            <family val="2"/>
          </rPr>
          <t xml:space="preserve">  SITE                      MAPPED SPECTRAL RESPONSE ACCELERATION AT 1 SECOND PERIOD
</t>
        </r>
        <r>
          <rPr>
            <u/>
            <sz val="8"/>
            <color indexed="81"/>
            <rFont val="Tahoma"/>
            <family val="2"/>
          </rPr>
          <t xml:space="preserve">CLASS             S1&lt;=0.1g             S1=0.2g              S1=0.3g              S1=0.4g             S1&gt;=0.5g </t>
        </r>
        <r>
          <rPr>
            <b/>
            <u/>
            <sz val="8"/>
            <color indexed="81"/>
            <rFont val="Tahoma"/>
            <family val="2"/>
          </rPr>
          <t xml:space="preserve">
</t>
        </r>
        <r>
          <rPr>
            <sz val="8"/>
            <color indexed="81"/>
            <rFont val="Tahoma"/>
            <family val="2"/>
          </rPr>
          <t xml:space="preserve">    A                        0.8                       0.8                      0.8                       0.8                      0.8
    B                        1.0                       1.0                      1.0                       1.0                      1.0
    C                        1.7                       1.6                      1.5                       1.4                      1.3
    D                        2.4                       2.0                      1.8                       1.6                      1.5
    E                        3.5                       3.2                      2.8                       2.4                      2.4
    F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t>
        </r>
        <r>
          <rPr>
            <i/>
            <sz val="8"/>
            <color indexed="81"/>
            <rFont val="Tahoma"/>
            <family val="2"/>
          </rPr>
          <t>(a)</t>
        </r>
        <r>
          <rPr>
            <sz val="8"/>
            <color indexed="81"/>
            <rFont val="Tahoma"/>
            <family val="2"/>
          </rPr>
          <t xml:space="preserve"> - Use straight line interpolation for intermediate values of mapped spectral acceleration at 
        1-second period, S1.
</t>
        </r>
        <r>
          <rPr>
            <i/>
            <sz val="8"/>
            <color indexed="81"/>
            <rFont val="Tahoma"/>
            <family val="2"/>
          </rPr>
          <t>(b)</t>
        </r>
        <r>
          <rPr>
            <sz val="8"/>
            <color indexed="81"/>
            <rFont val="Tahoma"/>
            <family val="2"/>
          </rPr>
          <t xml:space="preserve"> - Site-specific geotechnical investigation and dynamic site response analyses shall be 
        performed to determine appropriate values.  See ASCE 7-05 Section 11.4.7.
</t>
        </r>
      </text>
    </comment>
    <comment ref="C36" authorId="4">
      <text>
        <r>
          <rPr>
            <sz val="8"/>
            <color indexed="81"/>
            <rFont val="Tahoma"/>
            <family val="2"/>
          </rPr>
          <t>'SMS' is the maximum considered earthquake spectral response accelerations for short period.</t>
        </r>
      </text>
    </comment>
    <comment ref="C37" authorId="4">
      <text>
        <r>
          <rPr>
            <sz val="8"/>
            <color indexed="81"/>
            <rFont val="Tahoma"/>
            <family val="2"/>
          </rPr>
          <t>'SM1' is the maximum considered earthquake spectral response accelerations for 1-second period.</t>
        </r>
      </text>
    </comment>
    <comment ref="C40" authorId="4">
      <text>
        <r>
          <rPr>
            <sz val="8"/>
            <color indexed="81"/>
            <rFont val="Tahoma"/>
            <family val="2"/>
          </rPr>
          <t>'SDS' is the design spectral response acceleration at short periods.</t>
        </r>
      </text>
    </comment>
    <comment ref="C41" authorId="4">
      <text>
        <r>
          <rPr>
            <sz val="8"/>
            <color indexed="81"/>
            <rFont val="Tahoma"/>
            <family val="2"/>
          </rPr>
          <t>'SD1' is the design spectral response acceleration at 1-second period.</t>
        </r>
      </text>
    </comment>
    <comment ref="C44" authorId="4">
      <text>
        <r>
          <rPr>
            <b/>
            <sz val="8"/>
            <color indexed="81"/>
            <rFont val="Tahoma"/>
            <family val="2"/>
          </rPr>
          <t xml:space="preserve">                      ASCE 7-10 TABLE 11.6-1
            SEISMIC DESIGN CATEGORY BASED ON
</t>
        </r>
        <r>
          <rPr>
            <b/>
            <u/>
            <sz val="8"/>
            <color indexed="81"/>
            <rFont val="Tahoma"/>
            <family val="2"/>
          </rPr>
          <t xml:space="preserve">        SHORT-PERIOD RESPONSE ACCELERATIONS           </t>
        </r>
        <r>
          <rPr>
            <b/>
            <sz val="8"/>
            <color indexed="81"/>
            <rFont val="Tahoma"/>
            <family val="2"/>
          </rPr>
          <t xml:space="preserve"> </t>
        </r>
        <r>
          <rPr>
            <sz val="8"/>
            <color indexed="81"/>
            <rFont val="Tahoma"/>
            <family val="2"/>
          </rPr>
          <t xml:space="preserve">
                                                      OCCUPANCY  CATEGORY
</t>
        </r>
        <r>
          <rPr>
            <u/>
            <sz val="8"/>
            <color indexed="81"/>
            <rFont val="Tahoma"/>
            <family val="2"/>
          </rPr>
          <t xml:space="preserve">       VALUE OF SDS                            I or II     III         IV        </t>
        </r>
        <r>
          <rPr>
            <sz val="8"/>
            <color indexed="81"/>
            <rFont val="Tahoma"/>
            <family val="2"/>
          </rPr>
          <t xml:space="preserve">       
SDS &lt; 0.167g                                       A          A          A
0.167g &lt;= SDS &lt; 0.33g                       B          B          C
0.33g &lt;= SDS &lt; 0.50g                         C         C           D
</t>
        </r>
        <r>
          <rPr>
            <u/>
            <sz val="8"/>
            <color indexed="81"/>
            <rFont val="Tahoma"/>
            <family val="2"/>
          </rPr>
          <t xml:space="preserve">0.50g &lt;= SDS                                       D         D           D      </t>
        </r>
        <r>
          <rPr>
            <sz val="8"/>
            <color indexed="81"/>
            <rFont val="Tahoma"/>
            <family val="2"/>
          </rPr>
          <t xml:space="preserve">
                       </t>
        </r>
      </text>
    </comment>
    <comment ref="C45" authorId="4">
      <text>
        <r>
          <rPr>
            <b/>
            <sz val="8"/>
            <color indexed="81"/>
            <rFont val="Tahoma"/>
            <family val="2"/>
          </rPr>
          <t xml:space="preserve">                      ASCE 7-10 TABLE 11.6-2
            SEISMIC DESIGN CATEGORY BASED ON
</t>
        </r>
        <r>
          <rPr>
            <b/>
            <u/>
            <sz val="8"/>
            <color indexed="81"/>
            <rFont val="Tahoma"/>
            <family val="2"/>
          </rPr>
          <t xml:space="preserve">     1-SECOND PERIOD RESPONSE ACCELERATIONS           </t>
        </r>
        <r>
          <rPr>
            <b/>
            <sz val="8"/>
            <color indexed="81"/>
            <rFont val="Tahoma"/>
            <family val="2"/>
          </rPr>
          <t xml:space="preserve"> </t>
        </r>
        <r>
          <rPr>
            <sz val="8"/>
            <color indexed="81"/>
            <rFont val="Tahoma"/>
            <family val="2"/>
          </rPr>
          <t xml:space="preserve">
                                                      OCCUPANCY  CATEGORY
</t>
        </r>
        <r>
          <rPr>
            <u/>
            <sz val="8"/>
            <color indexed="81"/>
            <rFont val="Tahoma"/>
            <family val="2"/>
          </rPr>
          <t xml:space="preserve">       VALUE OF SD1                            I or II     III         IV        </t>
        </r>
        <r>
          <rPr>
            <sz val="8"/>
            <color indexed="81"/>
            <rFont val="Tahoma"/>
            <family val="2"/>
          </rPr>
          <t xml:space="preserve">       
SD1 &lt; 0.067g                                       A          A          A
0.067g &lt;= SD1 &lt; 0.133g                     B          B          C
0.133g &lt;= SD1 &lt; 0.20g                       C         C          D
</t>
        </r>
        <r>
          <rPr>
            <u/>
            <sz val="8"/>
            <color indexed="81"/>
            <rFont val="Tahoma"/>
            <family val="2"/>
          </rPr>
          <t>0.20g &lt;= SD1                                       D</t>
        </r>
        <r>
          <rPr>
            <i/>
            <u/>
            <sz val="8"/>
            <color indexed="81"/>
            <rFont val="Tahoma"/>
            <family val="2"/>
          </rPr>
          <t>(a)</t>
        </r>
        <r>
          <rPr>
            <u/>
            <sz val="8"/>
            <color indexed="81"/>
            <rFont val="Tahoma"/>
            <family val="2"/>
          </rPr>
          <t xml:space="preserve">     D</t>
        </r>
        <r>
          <rPr>
            <i/>
            <u/>
            <sz val="8"/>
            <color indexed="81"/>
            <rFont val="Tahoma"/>
            <family val="2"/>
          </rPr>
          <t>(a)</t>
        </r>
        <r>
          <rPr>
            <u/>
            <sz val="8"/>
            <color indexed="81"/>
            <rFont val="Tahoma"/>
            <family val="2"/>
          </rPr>
          <t xml:space="preserve">   D</t>
        </r>
        <r>
          <rPr>
            <i/>
            <u/>
            <sz val="8"/>
            <color indexed="81"/>
            <rFont val="Tahoma"/>
            <family val="2"/>
          </rPr>
          <t>(a)</t>
        </r>
        <r>
          <rPr>
            <u/>
            <sz val="8"/>
            <color indexed="81"/>
            <rFont val="Tahoma"/>
            <family val="2"/>
          </rPr>
          <t xml:space="preserve">      </t>
        </r>
        <r>
          <rPr>
            <sz val="8"/>
            <color indexed="81"/>
            <rFont val="Tahoma"/>
            <family val="2"/>
          </rPr>
          <t xml:space="preserve">
Note from Section 1613.5.6:      
        Structures classified as Occupancy Category I, II, or III 
        that are located where the mapped spectral response 
        acceleration at 1-second period, S1, is greater than or
        equal to 0.75g shall be assigned to Seismic Design
        Category E.  Structures classified as Occupancy 
        Category IV that are located where the mapped 
        spectral response acceleration at 1-second period, S1,
        is greater than or equal to 0.75g shall be assigned to 
        Seismic Design Category F.    </t>
        </r>
      </text>
    </comment>
    <comment ref="C46" authorId="4">
      <text>
        <r>
          <rPr>
            <sz val="8"/>
            <color indexed="81"/>
            <rFont val="Tahoma"/>
            <family val="2"/>
          </rPr>
          <t>Seismic Design Category to be used shall be the the highest (most critical) category.</t>
        </r>
      </text>
    </comment>
    <comment ref="C49" authorId="4">
      <text>
        <r>
          <rPr>
            <sz val="8"/>
            <color indexed="81"/>
            <rFont val="Tahoma"/>
            <family val="2"/>
          </rPr>
          <t xml:space="preserve">The formula for the period of a thin-walled cantilever vessel is:
    T = 0.00000765*(h/d)^2*(W*1000/h*d/(t/12))^1/2
Reference: 2000 IBC Structural/Seismic Design Manual - Vol. 1:
  Code Application Examples (by SEAOC), pages 208 - 209.
</t>
        </r>
      </text>
    </comment>
    <comment ref="C53" authorId="1">
      <text>
        <r>
          <rPr>
            <sz val="8"/>
            <color indexed="81"/>
            <rFont val="Tahoma"/>
            <family val="2"/>
          </rPr>
          <t>The Response Modification Coefficient, "R", is determined from ASCE 7-10 Table 12.2-1.</t>
        </r>
      </text>
    </comment>
    <comment ref="C54" authorId="1">
      <text>
        <r>
          <rPr>
            <sz val="8"/>
            <color indexed="81"/>
            <rFont val="Tahoma"/>
            <family val="2"/>
          </rPr>
          <t>The System Overstrength Factor, "</t>
        </r>
        <r>
          <rPr>
            <sz val="8"/>
            <color indexed="81"/>
            <rFont val="Symbol"/>
            <family val="1"/>
            <charset val="2"/>
          </rPr>
          <t>W</t>
        </r>
        <r>
          <rPr>
            <sz val="8"/>
            <color indexed="81"/>
            <rFont val="Tahoma"/>
            <family val="2"/>
          </rPr>
          <t>o", is determined from ASCE 7-10 Table 12.2-1.</t>
        </r>
      </text>
    </comment>
    <comment ref="C55" authorId="1">
      <text>
        <r>
          <rPr>
            <sz val="8"/>
            <color indexed="81"/>
            <rFont val="Tahoma"/>
            <family val="2"/>
          </rPr>
          <t>The Deflection Amplification Factor, "Cd", is determined from ASCE 7-10 Table 12.2-1.</t>
        </r>
      </text>
    </comment>
    <comment ref="C60" authorId="1">
      <text>
        <r>
          <rPr>
            <sz val="8"/>
            <color indexed="81"/>
            <rFont val="Tahoma"/>
            <family val="2"/>
          </rPr>
          <t xml:space="preserve">'W' = The nonbuilding structure operating weight, including the total 
dead load and other loads listed per ASCE 7-10 Section 12.7.2.  'W' shall also include all normal operating contents for items such as tanks, vessels, bins, hoppers, and the contents of piping.  'W' shall include snow and ice loads when these loads constitute 25% or more of 'W' or when required by the building official based on local environmental chararcteristics.
</t>
        </r>
      </text>
    </comment>
    <comment ref="C61" authorId="4">
      <text>
        <r>
          <rPr>
            <sz val="8"/>
            <color indexed="81"/>
            <rFont val="Tahoma"/>
            <family val="2"/>
          </rPr>
          <t>'CS' is the seismic response coefficient.</t>
        </r>
      </text>
    </comment>
    <comment ref="C65" authorId="1">
      <text>
        <r>
          <rPr>
            <sz val="8"/>
            <color indexed="81"/>
            <rFont val="Tahoma"/>
            <family val="2"/>
          </rPr>
          <t>V = Cs*W  for flexible (T &gt;= 0.06 sec.) nonbuilding structure (ASCE 7-10 Eqn. 12.8-1).
V = 0.30*SDS*W*I  for rigid (T &lt; 0.06 sec.) nonbuilding structure (ASCE 7-10 Eqn. 15.4-5). 
'V' is the total Seismic Base Shear, and it may be minimized by any of the following means:
1. Using a seismic-force-resisting system with a larger Response Modification Factor, 'R'.  
     The total Seismic Base Shear, 'V', is inversely proportional to the the value of 'R'.
2. Using a lower site class if possible
3. Minimizing the weight of the structure.</t>
        </r>
      </text>
    </comment>
    <comment ref="C78" authorId="2">
      <text>
        <r>
          <rPr>
            <sz val="8"/>
            <color indexed="81"/>
            <rFont val="Tahoma"/>
            <family val="2"/>
          </rPr>
          <t xml:space="preserve">API 650 Appendix E, 11th Edition, June 2007
Eqn. E.4.5.1-1b
</t>
        </r>
      </text>
    </comment>
    <comment ref="C83" authorId="2">
      <text>
        <r>
          <rPr>
            <sz val="8"/>
            <color indexed="81"/>
            <rFont val="Tahoma"/>
            <family val="2"/>
          </rPr>
          <t>API 650 Appendix E, 11th Edition, June 2007
Eqns. E.6.1.1-1 and E.6.1.1-2</t>
        </r>
      </text>
    </comment>
    <comment ref="C84" authorId="2">
      <text>
        <r>
          <rPr>
            <sz val="8"/>
            <color indexed="81"/>
            <rFont val="Tahoma"/>
            <family val="2"/>
          </rPr>
          <t xml:space="preserve">API 650 Appendix E, 11th Edition, June 2007
Eqn. E.6.1.1-3
</t>
        </r>
      </text>
    </comment>
  </commentList>
</comments>
</file>

<file path=xl/comments4.xml><?xml version="1.0" encoding="utf-8"?>
<comments xmlns="http://schemas.openxmlformats.org/spreadsheetml/2006/main">
  <authors>
    <author>David Taylor</author>
    <author>Alex Tomanovich</author>
    <author xml:space="preserve"> </author>
  </authors>
  <commentList>
    <comment ref="AG1" authorId="0">
      <text>
        <r>
          <rPr>
            <b/>
            <sz val="9"/>
            <color indexed="81"/>
            <rFont val="Tahoma"/>
            <family val="2"/>
          </rPr>
          <t xml:space="preserve">"ASCE710E.xls"
</t>
        </r>
        <r>
          <rPr>
            <sz val="9"/>
            <color indexed="81"/>
            <rFont val="Tahoma"/>
            <family val="2"/>
          </rPr>
          <t>Original version</t>
        </r>
        <r>
          <rPr>
            <b/>
            <sz val="9"/>
            <color indexed="81"/>
            <rFont val="Tahoma"/>
            <family val="2"/>
          </rPr>
          <t xml:space="preserve"> </t>
        </r>
        <r>
          <rPr>
            <sz val="9"/>
            <color indexed="81"/>
            <rFont val="Tahoma"/>
            <family val="2"/>
          </rPr>
          <t>("IBC2009E.xls")</t>
        </r>
        <r>
          <rPr>
            <b/>
            <sz val="9"/>
            <color indexed="81"/>
            <rFont val="Tahoma"/>
            <family val="2"/>
          </rPr>
          <t xml:space="preserve"> </t>
        </r>
        <r>
          <rPr>
            <sz val="9"/>
            <color indexed="81"/>
            <rFont val="Tahoma"/>
            <family val="2"/>
          </rPr>
          <t>written by:  Alex Tomanovich, P.E.
Modified by: David Taylor, P.E.</t>
        </r>
      </text>
    </comment>
    <comment ref="C8" authorId="1">
      <text>
        <r>
          <rPr>
            <b/>
            <sz val="8"/>
            <color indexed="81"/>
            <rFont val="Tahoma"/>
            <family val="2"/>
          </rPr>
          <t xml:space="preserve">                                                                        IBC 2012 TABLE 1604.5</t>
        </r>
        <r>
          <rPr>
            <b/>
            <u/>
            <sz val="8"/>
            <color indexed="81"/>
            <rFont val="Tahoma"/>
            <family val="2"/>
          </rPr>
          <t xml:space="preserve">
                                         Risk Category of Buildings and Other Structures                                                      </t>
        </r>
        <r>
          <rPr>
            <sz val="8"/>
            <color indexed="81"/>
            <rFont val="Tahoma"/>
            <family val="2"/>
          </rPr>
          <t xml:space="preserve">                                                                                                     
</t>
        </r>
        <r>
          <rPr>
            <b/>
            <u/>
            <sz val="8"/>
            <color indexed="81"/>
            <rFont val="Tahoma"/>
            <family val="2"/>
          </rPr>
          <t>Nature of Occupancy                                                                                                                      Risk Category</t>
        </r>
        <r>
          <rPr>
            <sz val="8"/>
            <color indexed="81"/>
            <rFont val="Tahoma"/>
            <family val="2"/>
          </rPr>
          <t xml:space="preserve">
Buildings and structures that represent a low hazard to human life in the event of failure                                    I
including, but not limited to:
     - Agriculture facilities.                                                                                                             
     - Certain temporary facilities.
</t>
        </r>
        <r>
          <rPr>
            <u/>
            <sz val="8"/>
            <color indexed="81"/>
            <rFont val="Tahoma"/>
            <family val="2"/>
          </rPr>
          <t xml:space="preserve">     - Minor storage facilities.                                                                                                                                                         </t>
        </r>
        <r>
          <rPr>
            <sz val="8"/>
            <color indexed="81"/>
            <rFont val="Tahoma"/>
            <family val="2"/>
          </rPr>
          <t xml:space="preserve">       
</t>
        </r>
        <r>
          <rPr>
            <u/>
            <sz val="8"/>
            <color indexed="81"/>
            <rFont val="Tahoma"/>
            <family val="2"/>
          </rPr>
          <t xml:space="preserve">Buildings and other structures except those listed in Occupancy Categories I, III and IV                                     II                 </t>
        </r>
        <r>
          <rPr>
            <sz val="8"/>
            <color indexed="81"/>
            <rFont val="Tahoma"/>
            <family val="2"/>
          </rPr>
          <t xml:space="preserve">
Buildings and other structures that represent a substantial hazard to human life in the event of                        III      
failure, including but not limited to:
     - Buildings and other structures whose primary occupancy is public assembly with an 
       occupant load greater that 300.
     - Buildings and other structures containing elementary school, secondary school or day care
       facilities with and occupant load greater than 250.
     - Buildings and other structures containing adult education facilities, such as colleges and
       universities, with an occupant load greater than 500.
     - Group I-2 occupancies with an occupant load of 50 or more resident patients but not 
       having surgery or emergency treatment facilities.
     - Group I-3 occupancies.
     - Any other occupancy with an occupant load greater than 5,000 (a).
     - Power-generating stations, water treatment facilities for potable water, waste water 
       treatment facilities and other public utility facilities not included in Occupancy Category IV.
     - Buildings and other structures not included in Occupancy Category IV containing sufficient 
</t>
        </r>
        <r>
          <rPr>
            <u/>
            <sz val="8"/>
            <color indexed="81"/>
            <rFont val="Tahoma"/>
            <family val="2"/>
          </rPr>
          <t xml:space="preserve">       quantities of toxic or explosive substances to be dangerous to the public if released.                                                       </t>
        </r>
        <r>
          <rPr>
            <sz val="8"/>
            <color indexed="81"/>
            <rFont val="Tahoma"/>
            <family val="2"/>
          </rPr>
          <t xml:space="preserve">  </t>
        </r>
        <r>
          <rPr>
            <u/>
            <sz val="8"/>
            <color indexed="81"/>
            <rFont val="Tahoma"/>
            <family val="2"/>
          </rPr>
          <t xml:space="preserve">               </t>
        </r>
        <r>
          <rPr>
            <sz val="8"/>
            <color indexed="81"/>
            <rFont val="Tahoma"/>
            <family val="2"/>
          </rPr>
          <t xml:space="preserve">
Buildings and other structures designated as essential facilities, including but not limited to:                               IV
     - Group I-2 occupancies having surgery or emergency treatment facilities.
     - Fire, rescue, ambulance and police stations and emergency vehicle garages.
     - Designated earthquake, hurricane or other emergency shelters.
     - Designated emergency preparedness, communications and operations centers and other
       other facilities required for emergency response. 
     - Power-generating stations and other public utility facilities required as emergency backup 
       facilities for Occupancy Category IV structures.
     - Structures containing highly toxic materials as defined by Section 307 where the quantity 
       of the material exceeds the maximum allowable quantities of Table 307.1(2).
     - Aviation control towers, air traffic control centers and emergency aircraft hangars.
     - Buildings and other structures having critical national defense functions.
     - Water storage facilities and pump structures required to maintain water pressure for fire </t>
        </r>
        <r>
          <rPr>
            <u/>
            <sz val="8"/>
            <color indexed="81"/>
            <rFont val="Tahoma"/>
            <family val="2"/>
          </rPr>
          <t xml:space="preserve">
       suppression.                                                                                                                                                                          
</t>
        </r>
        <r>
          <rPr>
            <sz val="8"/>
            <color indexed="81"/>
            <rFont val="Tahoma"/>
            <family val="2"/>
          </rPr>
          <t>(a) For purposes of occupant load calculation,occupancies required by Table 1004.1.1 to use gross floor 
       area calculations shall be permitted to use net floor areas to determine the total occupant load.</t>
        </r>
      </text>
    </comment>
    <comment ref="C9" authorId="2">
      <text>
        <r>
          <rPr>
            <b/>
            <sz val="8"/>
            <color indexed="81"/>
            <rFont val="Tahoma"/>
            <family val="2"/>
          </rPr>
          <t xml:space="preserve">             ASCE 7-10 TABLE 1.5-1 
</t>
        </r>
        <r>
          <rPr>
            <b/>
            <u/>
            <sz val="8"/>
            <color indexed="81"/>
            <rFont val="Tahoma"/>
            <family val="2"/>
          </rPr>
          <t xml:space="preserve">              IMPORTANCE FACTORS                 </t>
        </r>
        <r>
          <rPr>
            <b/>
            <sz val="8"/>
            <color indexed="81"/>
            <rFont val="Tahoma"/>
            <family val="2"/>
          </rPr>
          <t xml:space="preserve">
</t>
        </r>
        <r>
          <rPr>
            <u/>
            <sz val="8"/>
            <color indexed="81"/>
            <rFont val="Tahoma"/>
            <family val="2"/>
          </rPr>
          <t xml:space="preserve">Occupancy Category                             I         </t>
        </r>
        <r>
          <rPr>
            <sz val="8"/>
            <color indexed="81"/>
            <rFont val="Tahoma"/>
            <family val="2"/>
          </rPr>
          <t xml:space="preserve">
          I or II                                          1.0
             III                                            1.25
             IV                                             1.5
</t>
        </r>
      </text>
    </comment>
    <comment ref="C10" authorId="1">
      <text>
        <r>
          <rPr>
            <sz val="8"/>
            <color indexed="81"/>
            <rFont val="Tahoma"/>
            <family val="2"/>
          </rPr>
          <t xml:space="preserve">                                                                                       </t>
        </r>
        <r>
          <rPr>
            <b/>
            <sz val="8"/>
            <color indexed="81"/>
            <rFont val="Tahoma"/>
            <family val="2"/>
          </rPr>
          <t xml:space="preserve">ASCE 7-10 TABLE 20.3-1
</t>
        </r>
        <r>
          <rPr>
            <b/>
            <u/>
            <sz val="8"/>
            <color indexed="81"/>
            <rFont val="Tahoma"/>
            <family val="2"/>
          </rPr>
          <t xml:space="preserve">                                                                                        SITE CLASSIFICATION                                                                                         </t>
        </r>
        <r>
          <rPr>
            <sz val="8"/>
            <color indexed="81"/>
            <rFont val="Tahoma"/>
            <family val="2"/>
          </rPr>
          <t xml:space="preserve">
                                                                    Soil Shear Wave                         Standard Penetration                              Soil Undrained 
</t>
        </r>
        <r>
          <rPr>
            <u/>
            <sz val="8"/>
            <color indexed="81"/>
            <rFont val="Tahoma"/>
            <family val="2"/>
          </rPr>
          <t xml:space="preserve">   SITE CLASS                                             Velocity, vs, (ft/s)                              Resistance, N                           Shear Strength ,su, (psf)  </t>
        </r>
        <r>
          <rPr>
            <sz val="8"/>
            <color indexed="81"/>
            <rFont val="Tahoma"/>
            <family val="2"/>
          </rPr>
          <t xml:space="preserve"> 
</t>
        </r>
        <r>
          <rPr>
            <u/>
            <sz val="8"/>
            <color indexed="81"/>
            <rFont val="Tahoma"/>
            <family val="2"/>
          </rPr>
          <t xml:space="preserve">   A.        Hard Rock                                          vs &gt; 5000                                 Not Applicable                                   Not Applicable              </t>
        </r>
        <r>
          <rPr>
            <sz val="8"/>
            <color indexed="81"/>
            <rFont val="Tahoma"/>
            <family val="2"/>
          </rPr>
          <t xml:space="preserve">     
</t>
        </r>
        <r>
          <rPr>
            <u/>
            <sz val="8"/>
            <color indexed="81"/>
            <rFont val="Tahoma"/>
            <family val="2"/>
          </rPr>
          <t xml:space="preserve">   B          Rock                                          2500 &lt;= vs &lt;= 5000                         Not Applicable                                   Not Applicable            </t>
        </r>
        <r>
          <rPr>
            <sz val="8"/>
            <color indexed="81"/>
            <rFont val="Tahoma"/>
            <family val="2"/>
          </rPr>
          <t xml:space="preserve">    
</t>
        </r>
        <r>
          <rPr>
            <u/>
            <sz val="8"/>
            <color indexed="81"/>
            <rFont val="Tahoma"/>
            <family val="2"/>
          </rPr>
          <t xml:space="preserve">   C.        Very Dense Soil &amp; Soft Rock      1200 &lt;= vs &lt;= 2500                              N &gt; 50                                            su &gt; 2000                </t>
        </r>
        <r>
          <rPr>
            <sz val="8"/>
            <color indexed="81"/>
            <rFont val="Tahoma"/>
            <family val="2"/>
          </rPr>
          <t xml:space="preserve">       
</t>
        </r>
        <r>
          <rPr>
            <u/>
            <sz val="8"/>
            <color indexed="81"/>
            <rFont val="Tahoma"/>
            <family val="2"/>
          </rPr>
          <t xml:space="preserve">   D.        Stiff Soil                                     600 &lt;= vs &lt;= 1200                         15 &lt;= N &lt;= 50                           1000 &lt;= su &lt;= 2000        </t>
        </r>
        <r>
          <rPr>
            <sz val="8"/>
            <color indexed="81"/>
            <rFont val="Tahoma"/>
            <family val="2"/>
          </rPr>
          <t xml:space="preserve">
   E.        Soft Clay Soil                                     vs &lt; 600                                       N &lt; 15                                             su &lt; 1000                           
                                                                           Any profile  with more than 10 feet of soil having the following characteristics:
                                                                              1. Plasticity Index, PI &gt; 20
                                                                              2. Moisture Content, w &gt;= 40% and
</t>
        </r>
        <r>
          <rPr>
            <u/>
            <sz val="8"/>
            <color indexed="81"/>
            <rFont val="Tahoma"/>
            <family val="2"/>
          </rPr>
          <t xml:space="preserve">                                                                              3. Undrained shear strength, su &lt; 500 psf                                                                      </t>
        </r>
        <r>
          <rPr>
            <sz val="8"/>
            <color indexed="81"/>
            <rFont val="Tahoma"/>
            <family val="2"/>
          </rPr>
          <t xml:space="preserve">                                                                
   F              Soils requiring site response           See Section 20.3.1
                   analysis per Section 21.1
                                                                                                                    </t>
        </r>
      </text>
    </comment>
    <comment ref="C16" authorId="1">
      <text>
        <r>
          <rPr>
            <sz val="8"/>
            <color indexed="81"/>
            <rFont val="Tahoma"/>
            <family val="2"/>
          </rPr>
          <t xml:space="preserve">'W' = The nonbuilding structure operating weight, including the total 
dead load and other loads listed per ASCE 7-05 Section 12.7.2.  'W' shall also include all normal operating contents for items such as tanks, vessels, bins, hoppers, and the contents of piping.  'W' shall include snow and ice loads when these loads constitute 25% or more of 'W' or when required by the building official based on local environmental chararcteristics.
</t>
        </r>
      </text>
    </comment>
  </commentList>
</comments>
</file>

<file path=xl/comments5.xml><?xml version="1.0" encoding="utf-8"?>
<comments xmlns="http://schemas.openxmlformats.org/spreadsheetml/2006/main">
  <authors>
    <author>David Taylor</author>
    <author>Alex Tomanovich</author>
    <author>Alex Tomanovich, P.E.</author>
  </authors>
  <commentList>
    <comment ref="AA1" authorId="0">
      <text>
        <r>
          <rPr>
            <b/>
            <sz val="9"/>
            <color indexed="81"/>
            <rFont val="Tahoma"/>
            <family val="2"/>
          </rPr>
          <t xml:space="preserve">"ASCE710E.xls"
</t>
        </r>
        <r>
          <rPr>
            <sz val="9"/>
            <color indexed="81"/>
            <rFont val="Tahoma"/>
            <family val="2"/>
          </rPr>
          <t>Original version</t>
        </r>
        <r>
          <rPr>
            <b/>
            <sz val="9"/>
            <color indexed="81"/>
            <rFont val="Tahoma"/>
            <family val="2"/>
          </rPr>
          <t xml:space="preserve"> </t>
        </r>
        <r>
          <rPr>
            <sz val="9"/>
            <color indexed="81"/>
            <rFont val="Tahoma"/>
            <family val="2"/>
          </rPr>
          <t>("IBC2009E.xls")</t>
        </r>
        <r>
          <rPr>
            <b/>
            <sz val="9"/>
            <color indexed="81"/>
            <rFont val="Tahoma"/>
            <family val="2"/>
          </rPr>
          <t xml:space="preserve"> </t>
        </r>
        <r>
          <rPr>
            <sz val="9"/>
            <color indexed="81"/>
            <rFont val="Tahoma"/>
            <family val="2"/>
          </rPr>
          <t>written by:  Alex Tomanovich, P.E.
Modified by: David Taylor, P.E.</t>
        </r>
      </text>
    </comment>
    <comment ref="C8" authorId="1">
      <text>
        <r>
          <rPr>
            <b/>
            <sz val="8"/>
            <color indexed="81"/>
            <rFont val="Tahoma"/>
            <family val="2"/>
          </rPr>
          <t xml:space="preserve">                                                                        IBC 2012 TABLE 1604.5</t>
        </r>
        <r>
          <rPr>
            <b/>
            <u/>
            <sz val="8"/>
            <color indexed="81"/>
            <rFont val="Tahoma"/>
            <family val="2"/>
          </rPr>
          <t xml:space="preserve">
                                         Risk Category of Buildings and Other Structures                                                      </t>
        </r>
        <r>
          <rPr>
            <sz val="8"/>
            <color indexed="81"/>
            <rFont val="Tahoma"/>
            <family val="2"/>
          </rPr>
          <t xml:space="preserve">                                                                                                     
</t>
        </r>
        <r>
          <rPr>
            <b/>
            <u/>
            <sz val="8"/>
            <color indexed="81"/>
            <rFont val="Tahoma"/>
            <family val="2"/>
          </rPr>
          <t>Nature of Occupancy                                                                                                                      Risk Category</t>
        </r>
        <r>
          <rPr>
            <sz val="8"/>
            <color indexed="81"/>
            <rFont val="Tahoma"/>
            <family val="2"/>
          </rPr>
          <t xml:space="preserve">
Buildings and structures that represent a low hazard to human life in the event of failure                                    I
including, but not limited to:
     - Agriculture facilities.                                                                                                             
     - Certain temporary facilities.
</t>
        </r>
        <r>
          <rPr>
            <u/>
            <sz val="8"/>
            <color indexed="81"/>
            <rFont val="Tahoma"/>
            <family val="2"/>
          </rPr>
          <t xml:space="preserve">     - Minor storage facilities.                                                                                                                                                         </t>
        </r>
        <r>
          <rPr>
            <sz val="8"/>
            <color indexed="81"/>
            <rFont val="Tahoma"/>
            <family val="2"/>
          </rPr>
          <t xml:space="preserve">       
</t>
        </r>
        <r>
          <rPr>
            <u/>
            <sz val="8"/>
            <color indexed="81"/>
            <rFont val="Tahoma"/>
            <family val="2"/>
          </rPr>
          <t xml:space="preserve">Buildings and other structures except those listed in Occupancy Categories I, III and IV                                     II                 </t>
        </r>
        <r>
          <rPr>
            <sz val="8"/>
            <color indexed="81"/>
            <rFont val="Tahoma"/>
            <family val="2"/>
          </rPr>
          <t xml:space="preserve">
Buildings and other structures that represent a substantial hazard to human life in the event of                        III      
failure, including but not limited to:
     - Buildings and other structures whose primary occupancy is public assembly with an 
       occupant load greater that 300.
     - Buildings and other structures containing elementary school, secondary school or day care
       facilities with and occupant load greater than 250.
     - Buildings and other structures containing adult education facilities, such as colleges and
       universities, with an occupant load greater than 500.
     - Group I-2 occupancies with an occupant load of 50 or more resident patients but not 
       having surgery or emergency treatment facilities.
     - Group I-3 occupancies.
     - Any other occupancy with an occupant load greater than 5,000 (a).
     - Power-generating stations, water treatment facilities for potable water, waste water 
       treatment facilities and other public utility facilities not included in Occupancy Category IV.
     - Buildings and other structures not included in Occupancy Category IV containing sufficient 
</t>
        </r>
        <r>
          <rPr>
            <u/>
            <sz val="8"/>
            <color indexed="81"/>
            <rFont val="Tahoma"/>
            <family val="2"/>
          </rPr>
          <t xml:space="preserve">       quantities of toxic or explosive substances to be dangerous to the public if released.                                                       </t>
        </r>
        <r>
          <rPr>
            <sz val="8"/>
            <color indexed="81"/>
            <rFont val="Tahoma"/>
            <family val="2"/>
          </rPr>
          <t xml:space="preserve">  </t>
        </r>
        <r>
          <rPr>
            <u/>
            <sz val="8"/>
            <color indexed="81"/>
            <rFont val="Tahoma"/>
            <family val="2"/>
          </rPr>
          <t xml:space="preserve">               </t>
        </r>
        <r>
          <rPr>
            <sz val="8"/>
            <color indexed="81"/>
            <rFont val="Tahoma"/>
            <family val="2"/>
          </rPr>
          <t xml:space="preserve">
Buildings and other structures designated as essential facilities, including but not limited to:                               IV
     - Group I-2 occupancies having surgery or emergency treatment facilities.
     - Fire, rescue, ambulance and police stations and emergency vehicle garages.
     - Designated earthquake, hurricane or other emergency shelters.
     - Designated emergency preparedness, communications and operations centers and other
       other facilities required for emergency response. 
     - Power-generating stations and other public utility facilities required as emergency backup 
       facilities for Occupancy Category IV structures.
     - Structures containing highly toxic materials as defined by Section 307 where the quantity 
       of the material exceeds the maximum allowable quantities of Table 307.1(2).
     - Aviation control towers, air traffic control centers and emergency aircraft hangars.
     - Buildings and other structures having critical national defense functions.
     - Water storage facilities and pump structures required to maintain water pressure for fire </t>
        </r>
        <r>
          <rPr>
            <u/>
            <sz val="8"/>
            <color indexed="81"/>
            <rFont val="Tahoma"/>
            <family val="2"/>
          </rPr>
          <t xml:space="preserve">
       suppression.                                                                                                                                                                          
</t>
        </r>
        <r>
          <rPr>
            <sz val="8"/>
            <color indexed="81"/>
            <rFont val="Tahoma"/>
            <family val="2"/>
          </rPr>
          <t>(a) For purposes of occupant load calculation,occupancies required by Table 1004.1.1 to use gross floor 
       area calculations shall be permitted to use net floor areas to determine the total occupant load.</t>
        </r>
      </text>
    </comment>
    <comment ref="C9" authorId="1">
      <text>
        <r>
          <rPr>
            <sz val="8"/>
            <color indexed="81"/>
            <rFont val="Tahoma"/>
            <family val="2"/>
          </rPr>
          <t xml:space="preserve">                                                                                       </t>
        </r>
        <r>
          <rPr>
            <b/>
            <sz val="8"/>
            <color indexed="81"/>
            <rFont val="Tahoma"/>
            <family val="2"/>
          </rPr>
          <t xml:space="preserve">ASCE 7-10 TABLE 20.3-1
</t>
        </r>
        <r>
          <rPr>
            <b/>
            <u/>
            <sz val="8"/>
            <color indexed="81"/>
            <rFont val="Tahoma"/>
            <family val="2"/>
          </rPr>
          <t xml:space="preserve">                                                                                        SITE CLASSIFICATION                                                                                         </t>
        </r>
        <r>
          <rPr>
            <sz val="8"/>
            <color indexed="81"/>
            <rFont val="Tahoma"/>
            <family val="2"/>
          </rPr>
          <t xml:space="preserve">
                                                                    Soil Shear Wave                         Standard Penetration                              Soil Undrained 
</t>
        </r>
        <r>
          <rPr>
            <u/>
            <sz val="8"/>
            <color indexed="81"/>
            <rFont val="Tahoma"/>
            <family val="2"/>
          </rPr>
          <t xml:space="preserve">   SITE CLASS                                             Velocity, vs, (ft/s)                              Resistance, N                           Shear Strength ,su, (psf)  </t>
        </r>
        <r>
          <rPr>
            <sz val="8"/>
            <color indexed="81"/>
            <rFont val="Tahoma"/>
            <family val="2"/>
          </rPr>
          <t xml:space="preserve"> 
</t>
        </r>
        <r>
          <rPr>
            <u/>
            <sz val="8"/>
            <color indexed="81"/>
            <rFont val="Tahoma"/>
            <family val="2"/>
          </rPr>
          <t xml:space="preserve">   A.        Hard Rock                                          vs &gt; 5000                                 Not Applicable                                   Not Applicable              </t>
        </r>
        <r>
          <rPr>
            <sz val="8"/>
            <color indexed="81"/>
            <rFont val="Tahoma"/>
            <family val="2"/>
          </rPr>
          <t xml:space="preserve">     
</t>
        </r>
        <r>
          <rPr>
            <u/>
            <sz val="8"/>
            <color indexed="81"/>
            <rFont val="Tahoma"/>
            <family val="2"/>
          </rPr>
          <t xml:space="preserve">   B          Rock                                          2500 &lt;= vs &lt;= 5000                         Not Applicable                                   Not Applicable            </t>
        </r>
        <r>
          <rPr>
            <sz val="8"/>
            <color indexed="81"/>
            <rFont val="Tahoma"/>
            <family val="2"/>
          </rPr>
          <t xml:space="preserve">    
</t>
        </r>
        <r>
          <rPr>
            <u/>
            <sz val="8"/>
            <color indexed="81"/>
            <rFont val="Tahoma"/>
            <family val="2"/>
          </rPr>
          <t xml:space="preserve">   C.        Very Dense Soil &amp; Soft Rock      1200 &lt;= vs &lt;= 2500                              N &gt; 50                                            su &gt; 2000                </t>
        </r>
        <r>
          <rPr>
            <sz val="8"/>
            <color indexed="81"/>
            <rFont val="Tahoma"/>
            <family val="2"/>
          </rPr>
          <t xml:space="preserve">       
</t>
        </r>
        <r>
          <rPr>
            <u/>
            <sz val="8"/>
            <color indexed="81"/>
            <rFont val="Tahoma"/>
            <family val="2"/>
          </rPr>
          <t xml:space="preserve">   D.        Stiff Soil                                     600 &lt;= vs &lt;= 1200                         15 &lt;= N &lt;= 50                           1000 &lt;= su &lt;= 2000        </t>
        </r>
        <r>
          <rPr>
            <sz val="8"/>
            <color indexed="81"/>
            <rFont val="Tahoma"/>
            <family val="2"/>
          </rPr>
          <t xml:space="preserve">
   E.        Soft Clay Soil                                     vs &lt; 600                                       N &lt; 15                                             su &lt; 1000                           
                                                                           Any profile  with more than 10 feet of soil having the following characteristics:
                                                                              1. Plasticity Index, PI &gt; 20
                                                                              2. Moisture Content, w &gt;= 40% and
</t>
        </r>
        <r>
          <rPr>
            <u/>
            <sz val="8"/>
            <color indexed="81"/>
            <rFont val="Tahoma"/>
            <family val="2"/>
          </rPr>
          <t xml:space="preserve">                                                                              3. Undrained shear strength, su &lt; 500 psf                                                                      </t>
        </r>
        <r>
          <rPr>
            <sz val="8"/>
            <color indexed="81"/>
            <rFont val="Tahoma"/>
            <family val="2"/>
          </rPr>
          <t xml:space="preserve">                                                                
   F              Soils requiring site response           See Section 20.3.1
                   analysis per Section 21.1
                                                                                                                    </t>
        </r>
      </text>
    </comment>
    <comment ref="C15" authorId="2">
      <text>
        <r>
          <rPr>
            <sz val="8"/>
            <color indexed="81"/>
            <rFont val="Tahoma"/>
            <family val="2"/>
          </rPr>
          <t xml:space="preserve">Component Importance Factor, "Ip" (per ASCE 7-05 Section 13.1.3):
Ip = 1.5  for life safety component required to function after an earthquake 
        (e.g., fire protection sprinkler system)
Ip = 1.5  for component that contains hazardous materials
Ip = 1.5  for component is in or attached to an Occupancy Category IV 
        structure and is need for continued operation of the facility or its failure 
        could impair the continued operation of the facility
Ip = 1.0  for all other components
</t>
        </r>
      </text>
    </comment>
    <comment ref="C22" authorId="2">
      <text>
        <r>
          <rPr>
            <b/>
            <sz val="8"/>
            <color indexed="81"/>
            <rFont val="Tahoma"/>
            <family val="2"/>
          </rPr>
          <t xml:space="preserve">                                                   IBC 2012 TABLE 1613.3.3(1)
                 VALUES OF SITE COEFFICIENT, Fa, AS A FUNCTION OF SITE CLASS
</t>
        </r>
        <r>
          <rPr>
            <b/>
            <u/>
            <sz val="8"/>
            <color indexed="81"/>
            <rFont val="Tahoma"/>
            <family val="2"/>
          </rPr>
          <t xml:space="preserve">     AND MAPPED SPECTRAL RESPONSE ACCELERATION AT SHORT PERIODS (Ss)</t>
        </r>
        <r>
          <rPr>
            <b/>
            <i/>
            <u/>
            <sz val="8"/>
            <color indexed="81"/>
            <rFont val="Tahoma"/>
            <family val="2"/>
          </rPr>
          <t>(a)</t>
        </r>
        <r>
          <rPr>
            <b/>
            <u/>
            <sz val="8"/>
            <color indexed="81"/>
            <rFont val="Tahoma"/>
            <family val="2"/>
          </rPr>
          <t xml:space="preserve">     </t>
        </r>
        <r>
          <rPr>
            <b/>
            <sz val="8"/>
            <color indexed="81"/>
            <rFont val="Tahoma"/>
            <family val="2"/>
          </rPr>
          <t xml:space="preserve">
</t>
        </r>
        <r>
          <rPr>
            <sz val="8"/>
            <color indexed="81"/>
            <rFont val="Tahoma"/>
            <family val="2"/>
          </rPr>
          <t xml:space="preserve">  SITE                       MAPPED SPECTRAL RESPONSE ACCELERATION AT SHORT PERIODS
</t>
        </r>
        <r>
          <rPr>
            <u/>
            <sz val="8"/>
            <color indexed="81"/>
            <rFont val="Tahoma"/>
            <family val="2"/>
          </rPr>
          <t xml:space="preserve">CLASS             Ss&lt;=0.25g           Ss=0.50g            Ss=0.75g            Ss=1.00g            Ss&gt;=1.25g </t>
        </r>
        <r>
          <rPr>
            <b/>
            <u/>
            <sz val="8"/>
            <color indexed="81"/>
            <rFont val="Tahoma"/>
            <family val="2"/>
          </rPr>
          <t xml:space="preserve">
</t>
        </r>
        <r>
          <rPr>
            <sz val="8"/>
            <color indexed="81"/>
            <rFont val="Tahoma"/>
            <family val="2"/>
          </rPr>
          <t xml:space="preserve">    A                        0.8                       0.8                      0.8                       0.8                      0.8
    B                        1.0                       1.0                      1.0                       1.0                      1.0
    C                        1.2                       1.2                      1.1                       1.0                      1.0
    D                        1.6                       1.4                      1.2                       1.1                      1.0
    E                        2.5                       1.7                      1.2                       0.9                      0.9
    F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t>
        </r>
        <r>
          <rPr>
            <i/>
            <sz val="8"/>
            <color indexed="81"/>
            <rFont val="Tahoma"/>
            <family val="2"/>
          </rPr>
          <t>(a)</t>
        </r>
        <r>
          <rPr>
            <sz val="8"/>
            <color indexed="81"/>
            <rFont val="Tahoma"/>
            <family val="2"/>
          </rPr>
          <t xml:space="preserve"> - Use straight line interpolation for intermediate values of mapped spectral acceleration at 
        short period, Ss.
</t>
        </r>
        <r>
          <rPr>
            <i/>
            <sz val="8"/>
            <color indexed="81"/>
            <rFont val="Tahoma"/>
            <family val="2"/>
          </rPr>
          <t>(b)</t>
        </r>
        <r>
          <rPr>
            <sz val="8"/>
            <color indexed="81"/>
            <rFont val="Tahoma"/>
            <family val="2"/>
          </rPr>
          <t xml:space="preserve"> - Site-specific geotechnical investigation and dynamic site response analyses shall be 
        performed to determine appropriate values.  See ASCE 7-10 Section 11.4.7.
</t>
        </r>
      </text>
    </comment>
    <comment ref="C23" authorId="2">
      <text>
        <r>
          <rPr>
            <b/>
            <sz val="8"/>
            <color indexed="81"/>
            <rFont val="Tahoma"/>
            <family val="2"/>
          </rPr>
          <t xml:space="preserve">                                                   IBC 2012 TABLE 1613.3.3(2)
                 VALUES OF SITE COEFFICIENT, Fv, AS A FUNCTION OF SITE CLASS
</t>
        </r>
        <r>
          <rPr>
            <b/>
            <u/>
            <sz val="8"/>
            <color indexed="81"/>
            <rFont val="Tahoma"/>
            <family val="2"/>
          </rPr>
          <t xml:space="preserve">    AND MAPPED SPECTRAL RESPONSE ACCELERATION AT 1 SECOND PERIOD (S1)</t>
        </r>
        <r>
          <rPr>
            <b/>
            <i/>
            <u/>
            <sz val="8"/>
            <color indexed="81"/>
            <rFont val="Tahoma"/>
            <family val="2"/>
          </rPr>
          <t>(a)</t>
        </r>
        <r>
          <rPr>
            <b/>
            <u/>
            <sz val="8"/>
            <color indexed="81"/>
            <rFont val="Tahoma"/>
            <family val="2"/>
          </rPr>
          <t xml:space="preserve">    </t>
        </r>
        <r>
          <rPr>
            <b/>
            <sz val="8"/>
            <color indexed="81"/>
            <rFont val="Tahoma"/>
            <family val="2"/>
          </rPr>
          <t xml:space="preserve">
</t>
        </r>
        <r>
          <rPr>
            <sz val="8"/>
            <color indexed="81"/>
            <rFont val="Tahoma"/>
            <family val="2"/>
          </rPr>
          <t xml:space="preserve">  SITE                      MAPPED SPECTRAL RESPONSE ACCELERATION AT 1 SECOND PERIOD
</t>
        </r>
        <r>
          <rPr>
            <u/>
            <sz val="8"/>
            <color indexed="81"/>
            <rFont val="Tahoma"/>
            <family val="2"/>
          </rPr>
          <t xml:space="preserve">CLASS             S1&lt;=0.1g             S1=0.2g              S1=0.3g              S1=0.4g             S1&gt;=0.5g </t>
        </r>
        <r>
          <rPr>
            <b/>
            <u/>
            <sz val="8"/>
            <color indexed="81"/>
            <rFont val="Tahoma"/>
            <family val="2"/>
          </rPr>
          <t xml:space="preserve">
</t>
        </r>
        <r>
          <rPr>
            <sz val="8"/>
            <color indexed="81"/>
            <rFont val="Tahoma"/>
            <family val="2"/>
          </rPr>
          <t xml:space="preserve">    A                        0.8                       0.8                      0.8                       0.8                      0.8
    B                        1.0                       1.0                      1.0                       1.0                      1.0
    C                        1.7                       1.6                      1.5                       1.4                      1.3
    D                        2.4                       2.0                      1.8                       1.6                      1.5
    E                        3.5                       3.2                      2.8                       2.4                      2.4
    F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t>
        </r>
        <r>
          <rPr>
            <i/>
            <sz val="8"/>
            <color indexed="81"/>
            <rFont val="Tahoma"/>
            <family val="2"/>
          </rPr>
          <t>(a)</t>
        </r>
        <r>
          <rPr>
            <sz val="8"/>
            <color indexed="81"/>
            <rFont val="Tahoma"/>
            <family val="2"/>
          </rPr>
          <t xml:space="preserve"> - Use straight line interpolation for intermediate values of mapped spectral acceleration at 
        1-second period, S1.
</t>
        </r>
        <r>
          <rPr>
            <i/>
            <sz val="8"/>
            <color indexed="81"/>
            <rFont val="Tahoma"/>
            <family val="2"/>
          </rPr>
          <t>(b)</t>
        </r>
        <r>
          <rPr>
            <sz val="8"/>
            <color indexed="81"/>
            <rFont val="Tahoma"/>
            <family val="2"/>
          </rPr>
          <t xml:space="preserve"> - Site-specific geotechnical investigation and dynamic site response analyses shall be 
        performed to determine appropriate values.  See ASCE 7-10 Section 11.4.7.
</t>
        </r>
      </text>
    </comment>
    <comment ref="C26" authorId="2">
      <text>
        <r>
          <rPr>
            <sz val="8"/>
            <color indexed="81"/>
            <rFont val="Tahoma"/>
            <family val="2"/>
          </rPr>
          <t>'SMS' is the maximum considered earthquake spectral response accelerations for short period as determined from IBC 2012 Section 1613.3.3.</t>
        </r>
      </text>
    </comment>
    <comment ref="C27" authorId="2">
      <text>
        <r>
          <rPr>
            <sz val="8"/>
            <color indexed="81"/>
            <rFont val="Tahoma"/>
            <family val="2"/>
          </rPr>
          <t>'SM1' is the maximum considered earthquake spectral response accelerations for 1-second period as determined from IBC 2012 Section 1613.3.3.</t>
        </r>
      </text>
    </comment>
    <comment ref="C30" authorId="2">
      <text>
        <r>
          <rPr>
            <sz val="8"/>
            <color indexed="81"/>
            <rFont val="Tahoma"/>
            <family val="2"/>
          </rPr>
          <t>'SDS' is the design spectral response acceleration at short periods as determined in IBC 2012 Section 1613.3.4.</t>
        </r>
      </text>
    </comment>
    <comment ref="C31" authorId="2">
      <text>
        <r>
          <rPr>
            <sz val="8"/>
            <color indexed="81"/>
            <rFont val="Tahoma"/>
            <family val="2"/>
          </rPr>
          <t>'SD1' is the design spectral response acceleration at 1-second period as determined in IBC 2012 Section 1613.3.4.</t>
        </r>
      </text>
    </comment>
    <comment ref="C34" authorId="2">
      <text>
        <r>
          <rPr>
            <b/>
            <sz val="8"/>
            <color indexed="81"/>
            <rFont val="Tahoma"/>
            <family val="2"/>
          </rPr>
          <t xml:space="preserve">                      IBC 2012 TABLE 1613.3.5(1)
            SEISMIC DESIGN CATEGORY BASED ON
</t>
        </r>
        <r>
          <rPr>
            <b/>
            <u/>
            <sz val="8"/>
            <color indexed="81"/>
            <rFont val="Tahoma"/>
            <family val="2"/>
          </rPr>
          <t xml:space="preserve">        SHORT-PERIOD RESPONSE ACCELERATIONS           </t>
        </r>
        <r>
          <rPr>
            <b/>
            <sz val="8"/>
            <color indexed="81"/>
            <rFont val="Tahoma"/>
            <family val="2"/>
          </rPr>
          <t xml:space="preserve"> </t>
        </r>
        <r>
          <rPr>
            <sz val="8"/>
            <color indexed="81"/>
            <rFont val="Tahoma"/>
            <family val="2"/>
          </rPr>
          <t xml:space="preserve">
                                                             RISK  CATEGORY
</t>
        </r>
        <r>
          <rPr>
            <u/>
            <sz val="8"/>
            <color indexed="81"/>
            <rFont val="Tahoma"/>
            <family val="2"/>
          </rPr>
          <t xml:space="preserve">       VALUE OF SDS                            I or II     III         IV        </t>
        </r>
        <r>
          <rPr>
            <sz val="8"/>
            <color indexed="81"/>
            <rFont val="Tahoma"/>
            <family val="2"/>
          </rPr>
          <t xml:space="preserve">       
SDS &lt; 0.167g                                       A          A          A
0.167g &lt;= SDS &lt; 0.33g                       B          B          C
0.33g &lt;= SDS &lt; 0.50g                         C         C           D
</t>
        </r>
        <r>
          <rPr>
            <u/>
            <sz val="8"/>
            <color indexed="81"/>
            <rFont val="Tahoma"/>
            <family val="2"/>
          </rPr>
          <t xml:space="preserve">0.50g &lt;= SDS                                       D         D           D      </t>
        </r>
        <r>
          <rPr>
            <sz val="8"/>
            <color indexed="81"/>
            <rFont val="Tahoma"/>
            <family val="2"/>
          </rPr>
          <t xml:space="preserve">
                       </t>
        </r>
      </text>
    </comment>
    <comment ref="C35" authorId="2">
      <text>
        <r>
          <rPr>
            <b/>
            <sz val="8"/>
            <color indexed="81"/>
            <rFont val="Tahoma"/>
            <family val="2"/>
          </rPr>
          <t xml:space="preserve">                      IBC 2012 TABLE 1613.3.5(2)
            SEISMIC DESIGN CATEGORY BASED ON
</t>
        </r>
        <r>
          <rPr>
            <b/>
            <u/>
            <sz val="8"/>
            <color indexed="81"/>
            <rFont val="Tahoma"/>
            <family val="2"/>
          </rPr>
          <t xml:space="preserve">     1-SECOND PERIOD RESPONSE ACCELERATIONS           </t>
        </r>
        <r>
          <rPr>
            <b/>
            <sz val="8"/>
            <color indexed="81"/>
            <rFont val="Tahoma"/>
            <family val="2"/>
          </rPr>
          <t xml:space="preserve"> </t>
        </r>
        <r>
          <rPr>
            <sz val="8"/>
            <color indexed="81"/>
            <rFont val="Tahoma"/>
            <family val="2"/>
          </rPr>
          <t xml:space="preserve">
                                                             RISK  CATEGORY
</t>
        </r>
        <r>
          <rPr>
            <u/>
            <sz val="8"/>
            <color indexed="81"/>
            <rFont val="Tahoma"/>
            <family val="2"/>
          </rPr>
          <t xml:space="preserve">       VALUE OF SD1                            I or II     III         IV        </t>
        </r>
        <r>
          <rPr>
            <sz val="8"/>
            <color indexed="81"/>
            <rFont val="Tahoma"/>
            <family val="2"/>
          </rPr>
          <t xml:space="preserve">       
SD1 &lt; 0.067g                                       A          A          A
0.067g &lt;= SD1 &lt; 0.133g                     B          B          C
0.133g &lt;= SD1 &lt; 0.20g                       C         C          D
</t>
        </r>
        <r>
          <rPr>
            <u/>
            <sz val="8"/>
            <color indexed="81"/>
            <rFont val="Tahoma"/>
            <family val="2"/>
          </rPr>
          <t>0.20g &lt;= SD1                                       D</t>
        </r>
        <r>
          <rPr>
            <i/>
            <u/>
            <sz val="8"/>
            <color indexed="81"/>
            <rFont val="Tahoma"/>
            <family val="2"/>
          </rPr>
          <t>(a)</t>
        </r>
        <r>
          <rPr>
            <u/>
            <sz val="8"/>
            <color indexed="81"/>
            <rFont val="Tahoma"/>
            <family val="2"/>
          </rPr>
          <t xml:space="preserve">     D</t>
        </r>
        <r>
          <rPr>
            <i/>
            <u/>
            <sz val="8"/>
            <color indexed="81"/>
            <rFont val="Tahoma"/>
            <family val="2"/>
          </rPr>
          <t>(a)</t>
        </r>
        <r>
          <rPr>
            <u/>
            <sz val="8"/>
            <color indexed="81"/>
            <rFont val="Tahoma"/>
            <family val="2"/>
          </rPr>
          <t xml:space="preserve">   D</t>
        </r>
        <r>
          <rPr>
            <i/>
            <u/>
            <sz val="8"/>
            <color indexed="81"/>
            <rFont val="Tahoma"/>
            <family val="2"/>
          </rPr>
          <t>(a)</t>
        </r>
        <r>
          <rPr>
            <u/>
            <sz val="8"/>
            <color indexed="81"/>
            <rFont val="Tahoma"/>
            <family val="2"/>
          </rPr>
          <t xml:space="preserve">      </t>
        </r>
        <r>
          <rPr>
            <sz val="8"/>
            <color indexed="81"/>
            <rFont val="Tahoma"/>
            <family val="2"/>
          </rPr>
          <t xml:space="preserve">
Note from Section 1613.3.5:      
        Structures classified as Risk  Category I, II, or III 
        that are located where the mapped spectral response 
        acceleration at 1-second period, S1, is greater than or
        equal to 0.75g shall be assigned to Seismic Design
        Category E.  Structures classified as Occupancy 
        Category IV that are located where the mapped 
        spectral response acceleration at 1-second period, S1,
        is greater than or equal to 0.75g shall be assigned to 
        Seismic Design Category F.    </t>
        </r>
      </text>
    </comment>
    <comment ref="C36" authorId="2">
      <text>
        <r>
          <rPr>
            <sz val="8"/>
            <color indexed="81"/>
            <rFont val="Tahoma"/>
            <family val="2"/>
          </rPr>
          <t>Seismic Design Category to be used shall be the the highest (most critical) category as determined from IBC 2012 Table 1613.3.5(1) using 'SDS' and IBC 2012 Table 1613.3.5(2) using 'SD1'.</t>
        </r>
      </text>
    </comment>
    <comment ref="C39" authorId="1">
      <text>
        <r>
          <rPr>
            <sz val="8"/>
            <color indexed="81"/>
            <rFont val="Tahoma"/>
            <family val="2"/>
          </rPr>
          <t>The Component Amplification Factor, "ap", is determined from ASCE 7-10 Table 13.5-1.
(See designated worksheet for reference.)</t>
        </r>
      </text>
    </comment>
    <comment ref="C40" authorId="1">
      <text>
        <r>
          <rPr>
            <sz val="8"/>
            <color indexed="81"/>
            <rFont val="Tahoma"/>
            <family val="2"/>
          </rPr>
          <t>The Component Response Modification Coefficient, "Rp", is determined from ASCE 7-10 Table 13.5-1.
(See designated worksheet for reference.)</t>
        </r>
      </text>
    </comment>
  </commentList>
</comments>
</file>

<file path=xl/comments6.xml><?xml version="1.0" encoding="utf-8"?>
<comments xmlns="http://schemas.openxmlformats.org/spreadsheetml/2006/main">
  <authors>
    <author>David Taylor</author>
    <author>Alex Tomanovich</author>
    <author>Alex Tomanovich, P.E.</author>
  </authors>
  <commentList>
    <comment ref="AA1" authorId="0">
      <text>
        <r>
          <rPr>
            <b/>
            <sz val="9"/>
            <color indexed="81"/>
            <rFont val="Tahoma"/>
            <family val="2"/>
          </rPr>
          <t xml:space="preserve">"ASCE710E.xls"
</t>
        </r>
        <r>
          <rPr>
            <sz val="9"/>
            <color indexed="81"/>
            <rFont val="Tahoma"/>
            <family val="2"/>
          </rPr>
          <t>Original version</t>
        </r>
        <r>
          <rPr>
            <b/>
            <sz val="9"/>
            <color indexed="81"/>
            <rFont val="Tahoma"/>
            <family val="2"/>
          </rPr>
          <t xml:space="preserve"> </t>
        </r>
        <r>
          <rPr>
            <sz val="9"/>
            <color indexed="81"/>
            <rFont val="Tahoma"/>
            <family val="2"/>
          </rPr>
          <t>("IBC2009E.xls")</t>
        </r>
        <r>
          <rPr>
            <b/>
            <sz val="9"/>
            <color indexed="81"/>
            <rFont val="Tahoma"/>
            <family val="2"/>
          </rPr>
          <t xml:space="preserve"> </t>
        </r>
        <r>
          <rPr>
            <sz val="9"/>
            <color indexed="81"/>
            <rFont val="Tahoma"/>
            <family val="2"/>
          </rPr>
          <t>written by:  Alex Tomanovich, P.E.
Modified by: David Taylor, P.E.</t>
        </r>
      </text>
    </comment>
    <comment ref="C8" authorId="1">
      <text>
        <r>
          <rPr>
            <b/>
            <sz val="8"/>
            <color indexed="81"/>
            <rFont val="Tahoma"/>
            <family val="2"/>
          </rPr>
          <t xml:space="preserve">                                                                        IBC 2009 TABLE 1604.5</t>
        </r>
        <r>
          <rPr>
            <b/>
            <u/>
            <sz val="8"/>
            <color indexed="81"/>
            <rFont val="Tahoma"/>
            <family val="2"/>
          </rPr>
          <t xml:space="preserve">
                                         Occupancy Category of Buildings and Other Structures                                                      </t>
        </r>
        <r>
          <rPr>
            <sz val="8"/>
            <color indexed="81"/>
            <rFont val="Tahoma"/>
            <family val="2"/>
          </rPr>
          <t xml:space="preserve">                                                                                                     
</t>
        </r>
        <r>
          <rPr>
            <b/>
            <u/>
            <sz val="8"/>
            <color indexed="81"/>
            <rFont val="Tahoma"/>
            <family val="2"/>
          </rPr>
          <t>Nature of Occupancy                                                                                                                       Occupancy Category</t>
        </r>
        <r>
          <rPr>
            <sz val="8"/>
            <color indexed="81"/>
            <rFont val="Tahoma"/>
            <family val="2"/>
          </rPr>
          <t xml:space="preserve">
Buildings and structures that represent a low hazard to human life in the event of failure                                    I
including, but not limited to:
     - Agriculture facilities.                                                                                                             
     - Certain temporary facilities.
</t>
        </r>
        <r>
          <rPr>
            <u/>
            <sz val="8"/>
            <color indexed="81"/>
            <rFont val="Tahoma"/>
            <family val="2"/>
          </rPr>
          <t xml:space="preserve">     - Minor storage facilities.                                                                                                                                                         </t>
        </r>
        <r>
          <rPr>
            <sz val="8"/>
            <color indexed="81"/>
            <rFont val="Tahoma"/>
            <family val="2"/>
          </rPr>
          <t xml:space="preserve">       
</t>
        </r>
        <r>
          <rPr>
            <u/>
            <sz val="8"/>
            <color indexed="81"/>
            <rFont val="Tahoma"/>
            <family val="2"/>
          </rPr>
          <t xml:space="preserve">Buildings and other structures except those listed in Occupancy Categories I, III and IV                                     II                 </t>
        </r>
        <r>
          <rPr>
            <sz val="8"/>
            <color indexed="81"/>
            <rFont val="Tahoma"/>
            <family val="2"/>
          </rPr>
          <t xml:space="preserve">
Buildings and other structures that represent a substantial hazard to human life in the event of                        III      
failure, including but not limited to:
     - Buildings and other structures whose primary occupancy is public assembly with an 
       occupant load greater that 300.
     - Buildings and other structures containing elementary school, secondary school or day care
       facilities with and occupant load greater than 250.
     - Buildings and other structures containing adult education facilities, such as colleges and
       universities, with an occupant load greater than 500.
     - Group I-2 occupancies with an occupant load of 50 or more resident patients but not 
       having surgery or emergency treatment facilities.
     - Group I-3 occupancies.
     - Any other occupancy with an occupant load greater than 5,000 (a).
     - Power-generating stations, water treatment facilities for potable water, waste water 
       treatment facilities and other public utility facilities not included in Occupancy Category IV.
     - Buildings and other structures not included in Occupancy Category IV containing sufficient 
</t>
        </r>
        <r>
          <rPr>
            <u/>
            <sz val="8"/>
            <color indexed="81"/>
            <rFont val="Tahoma"/>
            <family val="2"/>
          </rPr>
          <t xml:space="preserve">       quantities of toxic or explosive substances to be dangerous to the public if released.                                                       </t>
        </r>
        <r>
          <rPr>
            <sz val="8"/>
            <color indexed="81"/>
            <rFont val="Tahoma"/>
            <family val="2"/>
          </rPr>
          <t xml:space="preserve">  </t>
        </r>
        <r>
          <rPr>
            <u/>
            <sz val="8"/>
            <color indexed="81"/>
            <rFont val="Tahoma"/>
            <family val="2"/>
          </rPr>
          <t xml:space="preserve">               </t>
        </r>
        <r>
          <rPr>
            <sz val="8"/>
            <color indexed="81"/>
            <rFont val="Tahoma"/>
            <family val="2"/>
          </rPr>
          <t xml:space="preserve">
Buildings and other structures designated as essential facilities, including but not limited to:                               IV
     - Group I-2 occupancies having surgery or emergency treatment facilities.
     - Fire, rescue, ambulance and police stations and emergency vehicle garages.
     - Designated earthquake, hurricane or other emergency shelters.
     - Designated emergency preparedness, communications and operations centers and other
       other facilities required for emergency response. 
     - Power-generating stations and other public utility facilities required as emergency backup 
       facilities for Occupancy Category IV structures.
     - Structures containing highly toxic materials as defined by Section 307 where the quantity 
       of the material exceeds the maximum allowable quantities of Table 307.1(2).
     - Aviation control towers, air traffic control centers and emergency aircraft hangars.
     - Buildings and other structures having critical national defense functions.
     - Water storage facilities and pump structures required to maintain water pressure for fire </t>
        </r>
        <r>
          <rPr>
            <u/>
            <sz val="8"/>
            <color indexed="81"/>
            <rFont val="Tahoma"/>
            <family val="2"/>
          </rPr>
          <t xml:space="preserve">
       suppression.                                                                                                                                                                          
</t>
        </r>
        <r>
          <rPr>
            <sz val="8"/>
            <color indexed="81"/>
            <rFont val="Tahoma"/>
            <family val="2"/>
          </rPr>
          <t>(a) For purposes of occupant load calculation,occupancies required by Table 1004.1.1 to use gross floor 
       area calculations shall be permitted to use net floor areas to determine the total occupant load.</t>
        </r>
      </text>
    </comment>
    <comment ref="C9" authorId="1">
      <text>
        <r>
          <rPr>
            <sz val="8"/>
            <color indexed="81"/>
            <rFont val="Tahoma"/>
            <family val="2"/>
          </rPr>
          <t xml:space="preserve">                                                                                       </t>
        </r>
        <r>
          <rPr>
            <b/>
            <sz val="8"/>
            <color indexed="81"/>
            <rFont val="Tahoma"/>
            <family val="2"/>
          </rPr>
          <t xml:space="preserve">ASCE 7-05 TABLE 20.3-1
</t>
        </r>
        <r>
          <rPr>
            <b/>
            <u/>
            <sz val="8"/>
            <color indexed="81"/>
            <rFont val="Tahoma"/>
            <family val="2"/>
          </rPr>
          <t xml:space="preserve">                                                                                        SITE CLASSIFICATION                                                                                         </t>
        </r>
        <r>
          <rPr>
            <sz val="8"/>
            <color indexed="81"/>
            <rFont val="Tahoma"/>
            <family val="2"/>
          </rPr>
          <t xml:space="preserve">
                                                                    Soil Shear Wave                         Standard Penetration                              Soil Undrained 
</t>
        </r>
        <r>
          <rPr>
            <u/>
            <sz val="8"/>
            <color indexed="81"/>
            <rFont val="Tahoma"/>
            <family val="2"/>
          </rPr>
          <t xml:space="preserve">   SITE CLASS                                             Velocity, vs, (ft/s)                              Resistance, N                           Shear Strength ,su, (psf)  </t>
        </r>
        <r>
          <rPr>
            <sz val="8"/>
            <color indexed="81"/>
            <rFont val="Tahoma"/>
            <family val="2"/>
          </rPr>
          <t xml:space="preserve"> 
</t>
        </r>
        <r>
          <rPr>
            <u/>
            <sz val="8"/>
            <color indexed="81"/>
            <rFont val="Tahoma"/>
            <family val="2"/>
          </rPr>
          <t xml:space="preserve">   A.        Hard Rock                                          vs &gt; 5000                                 Not Applicable                                   Not Applicable              </t>
        </r>
        <r>
          <rPr>
            <sz val="8"/>
            <color indexed="81"/>
            <rFont val="Tahoma"/>
            <family val="2"/>
          </rPr>
          <t xml:space="preserve">     
</t>
        </r>
        <r>
          <rPr>
            <u/>
            <sz val="8"/>
            <color indexed="81"/>
            <rFont val="Tahoma"/>
            <family val="2"/>
          </rPr>
          <t xml:space="preserve">   B          Rock                                          2500 &lt;= vs &lt;= 5000                         Not Applicable                                   Not Applicable            </t>
        </r>
        <r>
          <rPr>
            <sz val="8"/>
            <color indexed="81"/>
            <rFont val="Tahoma"/>
            <family val="2"/>
          </rPr>
          <t xml:space="preserve">    
</t>
        </r>
        <r>
          <rPr>
            <u/>
            <sz val="8"/>
            <color indexed="81"/>
            <rFont val="Tahoma"/>
            <family val="2"/>
          </rPr>
          <t xml:space="preserve">   C.        Very Dense Soil &amp; Soft Rock      1200 &lt;= vs &lt;= 2500                              N &gt; 50                                            su &gt; 2000                </t>
        </r>
        <r>
          <rPr>
            <sz val="8"/>
            <color indexed="81"/>
            <rFont val="Tahoma"/>
            <family val="2"/>
          </rPr>
          <t xml:space="preserve">       
</t>
        </r>
        <r>
          <rPr>
            <u/>
            <sz val="8"/>
            <color indexed="81"/>
            <rFont val="Tahoma"/>
            <family val="2"/>
          </rPr>
          <t xml:space="preserve">   D.        Stiff Soil                                     600 &lt;= vs &lt;= 1200                         15 &lt;= N &lt;= 50                           1000 &lt;= su &lt;= 2000        </t>
        </r>
        <r>
          <rPr>
            <sz val="8"/>
            <color indexed="81"/>
            <rFont val="Tahoma"/>
            <family val="2"/>
          </rPr>
          <t xml:space="preserve">
   E.        Soft Clay Soil                                     vs &lt; 600                                       N &lt; 15                                             su &lt; 1000                           
                                                                           Any profile  with more than 10 feet of soil having the following characteristics:
                                                                              1. Plasticity Index, PI &gt; 20
                                                                              2. Moisture Content, w &gt;= 40% and
</t>
        </r>
        <r>
          <rPr>
            <u/>
            <sz val="8"/>
            <color indexed="81"/>
            <rFont val="Tahoma"/>
            <family val="2"/>
          </rPr>
          <t xml:space="preserve">                                                                              3. Undrained shear strength, su &lt; 500 psf                                                                      </t>
        </r>
        <r>
          <rPr>
            <sz val="8"/>
            <color indexed="81"/>
            <rFont val="Tahoma"/>
            <family val="2"/>
          </rPr>
          <t xml:space="preserve">                                                                
   F              Soils requiring site response           See Section 20.3.1
                   analysis per Section 21.1
                                                                                                                    </t>
        </r>
      </text>
    </comment>
    <comment ref="C15" authorId="2">
      <text>
        <r>
          <rPr>
            <sz val="8"/>
            <color indexed="81"/>
            <rFont val="Tahoma"/>
            <family val="2"/>
          </rPr>
          <t xml:space="preserve">Component Importance Factor, "Ip" (per ASCE 7-05 Section 13.1.3):
Ip = 1.5  for life safety component required to function after an earthquake 
        (e.g., fire protection sprinkler system)
Ip = 1.5  for component that contains hazardous materials
Ip = 1.5  for component is in or attached to an Occupancy Category IV 
        structure and is need for continued operation of the facility or its failure 
        could impair the continued operation of the facility
Ip = 1.0  for all other components
</t>
        </r>
      </text>
    </comment>
    <comment ref="C24" authorId="2">
      <text>
        <r>
          <rPr>
            <b/>
            <sz val="8"/>
            <color indexed="81"/>
            <rFont val="Tahoma"/>
            <family val="2"/>
          </rPr>
          <t xml:space="preserve">                                                   IBC 2012 TABLE 1613.3.3(1)
                 VALUES OF SITE COEFFICIENT, Fa, AS A FUNCTION OF SITE CLASS
</t>
        </r>
        <r>
          <rPr>
            <b/>
            <u/>
            <sz val="8"/>
            <color indexed="81"/>
            <rFont val="Tahoma"/>
            <family val="2"/>
          </rPr>
          <t xml:space="preserve">     AND MAPPED SPECTRAL RESPONSE ACCELERATION AT SHORT PERIODS (Ss)</t>
        </r>
        <r>
          <rPr>
            <b/>
            <i/>
            <u/>
            <sz val="8"/>
            <color indexed="81"/>
            <rFont val="Tahoma"/>
            <family val="2"/>
          </rPr>
          <t>(a)</t>
        </r>
        <r>
          <rPr>
            <b/>
            <u/>
            <sz val="8"/>
            <color indexed="81"/>
            <rFont val="Tahoma"/>
            <family val="2"/>
          </rPr>
          <t xml:space="preserve">     </t>
        </r>
        <r>
          <rPr>
            <b/>
            <sz val="8"/>
            <color indexed="81"/>
            <rFont val="Tahoma"/>
            <family val="2"/>
          </rPr>
          <t xml:space="preserve">
</t>
        </r>
        <r>
          <rPr>
            <sz val="8"/>
            <color indexed="81"/>
            <rFont val="Tahoma"/>
            <family val="2"/>
          </rPr>
          <t xml:space="preserve">  SITE                       MAPPED SPECTRAL RESPONSE ACCELERATION AT SHORT PERIODS
</t>
        </r>
        <r>
          <rPr>
            <u/>
            <sz val="8"/>
            <color indexed="81"/>
            <rFont val="Tahoma"/>
            <family val="2"/>
          </rPr>
          <t xml:space="preserve">CLASS             Ss&lt;=0.25g           Ss=0.50g            Ss=0.75g            Ss=1.00g            Ss&gt;=1.25g </t>
        </r>
        <r>
          <rPr>
            <b/>
            <u/>
            <sz val="8"/>
            <color indexed="81"/>
            <rFont val="Tahoma"/>
            <family val="2"/>
          </rPr>
          <t xml:space="preserve">
</t>
        </r>
        <r>
          <rPr>
            <sz val="8"/>
            <color indexed="81"/>
            <rFont val="Tahoma"/>
            <family val="2"/>
          </rPr>
          <t xml:space="preserve">    A                        0.8                       0.8                      0.8                       0.8                      0.8
    B                        1.0                       1.0                      1.0                       1.0                      1.0
    C                        1.2                       1.2                      1.1                       1.0                      1.0
    D                        1.6                       1.4                      1.2                       1.1                      1.0
    E                        2.5                       1.7                      1.2                       0.9                      0.9
    F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t>
        </r>
        <r>
          <rPr>
            <i/>
            <sz val="8"/>
            <color indexed="81"/>
            <rFont val="Tahoma"/>
            <family val="2"/>
          </rPr>
          <t>(a)</t>
        </r>
        <r>
          <rPr>
            <sz val="8"/>
            <color indexed="81"/>
            <rFont val="Tahoma"/>
            <family val="2"/>
          </rPr>
          <t xml:space="preserve"> - Use straight line interpolation for intermediate values of mapped spectral acceleration at 
        short period, Ss.
</t>
        </r>
        <r>
          <rPr>
            <i/>
            <sz val="8"/>
            <color indexed="81"/>
            <rFont val="Tahoma"/>
            <family val="2"/>
          </rPr>
          <t>(b)</t>
        </r>
        <r>
          <rPr>
            <sz val="8"/>
            <color indexed="81"/>
            <rFont val="Tahoma"/>
            <family val="2"/>
          </rPr>
          <t xml:space="preserve"> - Site-specific geotechnical investigation and dynamic site response analyses shall be 
        performed to determine appropriate values.  See ASCE 7-10 Section 11.4.7.
</t>
        </r>
      </text>
    </comment>
    <comment ref="C25" authorId="2">
      <text>
        <r>
          <rPr>
            <b/>
            <sz val="8"/>
            <color indexed="81"/>
            <rFont val="Tahoma"/>
            <family val="2"/>
          </rPr>
          <t xml:space="preserve">                                                   IBC 2012 TABLE 1613.3.3(2)
                 VALUES OF SITE COEFFICIENT, Fv, AS A FUNCTION OF SITE CLASS
</t>
        </r>
        <r>
          <rPr>
            <b/>
            <u/>
            <sz val="8"/>
            <color indexed="81"/>
            <rFont val="Tahoma"/>
            <family val="2"/>
          </rPr>
          <t xml:space="preserve">    AND MAPPED SPECTRAL RESPONSE ACCELERATION AT 1 SECOND PERIOD (S1)</t>
        </r>
        <r>
          <rPr>
            <b/>
            <i/>
            <u/>
            <sz val="8"/>
            <color indexed="81"/>
            <rFont val="Tahoma"/>
            <family val="2"/>
          </rPr>
          <t>(a)</t>
        </r>
        <r>
          <rPr>
            <b/>
            <u/>
            <sz val="8"/>
            <color indexed="81"/>
            <rFont val="Tahoma"/>
            <family val="2"/>
          </rPr>
          <t xml:space="preserve">    </t>
        </r>
        <r>
          <rPr>
            <b/>
            <sz val="8"/>
            <color indexed="81"/>
            <rFont val="Tahoma"/>
            <family val="2"/>
          </rPr>
          <t xml:space="preserve">
</t>
        </r>
        <r>
          <rPr>
            <sz val="8"/>
            <color indexed="81"/>
            <rFont val="Tahoma"/>
            <family val="2"/>
          </rPr>
          <t xml:space="preserve">  SITE                      MAPPED SPECTRAL RESPONSE ACCELERATION AT 1 SECOND PERIOD
</t>
        </r>
        <r>
          <rPr>
            <u/>
            <sz val="8"/>
            <color indexed="81"/>
            <rFont val="Tahoma"/>
            <family val="2"/>
          </rPr>
          <t xml:space="preserve">CLASS             S1&lt;=0.1g             S1=0.2g              S1=0.3g              S1=0.4g             S1&gt;=0.5g </t>
        </r>
        <r>
          <rPr>
            <b/>
            <u/>
            <sz val="8"/>
            <color indexed="81"/>
            <rFont val="Tahoma"/>
            <family val="2"/>
          </rPr>
          <t xml:space="preserve">
</t>
        </r>
        <r>
          <rPr>
            <sz val="8"/>
            <color indexed="81"/>
            <rFont val="Tahoma"/>
            <family val="2"/>
          </rPr>
          <t xml:space="preserve">    A                        0.8                       0.8                      0.8                       0.8                      0.8
    B                        1.0                       1.0                      1.0                       1.0                      1.0
    C                        1.7                       1.6                      1.5                       1.4                      1.3
    D                        2.4                       2.0                      1.8                       1.6                      1.5
    E                        3.5                       3.2                      2.8                       2.4                      2.4
    F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Note </t>
        </r>
        <r>
          <rPr>
            <i/>
            <sz val="8"/>
            <color indexed="81"/>
            <rFont val="Tahoma"/>
            <family val="2"/>
          </rPr>
          <t>(b)</t>
        </r>
        <r>
          <rPr>
            <sz val="8"/>
            <color indexed="81"/>
            <rFont val="Tahoma"/>
            <family val="2"/>
          </rPr>
          <t xml:space="preserve">
</t>
        </r>
        <r>
          <rPr>
            <i/>
            <sz val="8"/>
            <color indexed="81"/>
            <rFont val="Tahoma"/>
            <family val="2"/>
          </rPr>
          <t>(a)</t>
        </r>
        <r>
          <rPr>
            <sz val="8"/>
            <color indexed="81"/>
            <rFont val="Tahoma"/>
            <family val="2"/>
          </rPr>
          <t xml:space="preserve"> - Use straight line interpolation for intermediate values of mapped spectral acceleration at 
        1-second period, S1.
</t>
        </r>
        <r>
          <rPr>
            <i/>
            <sz val="8"/>
            <color indexed="81"/>
            <rFont val="Tahoma"/>
            <family val="2"/>
          </rPr>
          <t>(b)</t>
        </r>
        <r>
          <rPr>
            <sz val="8"/>
            <color indexed="81"/>
            <rFont val="Tahoma"/>
            <family val="2"/>
          </rPr>
          <t xml:space="preserve"> - Site-specific geotechnical investigation and dynamic site response analyses shall be 
        performed to determine appropriate values.  See ASCE 7-10 Section 11.4.7.
</t>
        </r>
      </text>
    </comment>
    <comment ref="C28" authorId="2">
      <text>
        <r>
          <rPr>
            <sz val="8"/>
            <color indexed="81"/>
            <rFont val="Tahoma"/>
            <family val="2"/>
          </rPr>
          <t>'SMS' is the maximum considered earthquake spectral response accelerations for short period as determined from IBC 2012 Section 1613.3.3.</t>
        </r>
      </text>
    </comment>
    <comment ref="C29" authorId="2">
      <text>
        <r>
          <rPr>
            <sz val="8"/>
            <color indexed="81"/>
            <rFont val="Tahoma"/>
            <family val="2"/>
          </rPr>
          <t>'SM1' is the maximum considered earthquake spectral response accelerations for 1-second period as determined from IBC 2012 Section 1613.3.3.</t>
        </r>
      </text>
    </comment>
    <comment ref="C32" authorId="2">
      <text>
        <r>
          <rPr>
            <sz val="8"/>
            <color indexed="81"/>
            <rFont val="Tahoma"/>
            <family val="2"/>
          </rPr>
          <t>'SDS' is the design spectral response acceleration at short periods as determined in IBC 2012 Section 1613.3.4.</t>
        </r>
      </text>
    </comment>
    <comment ref="C33" authorId="2">
      <text>
        <r>
          <rPr>
            <sz val="8"/>
            <color indexed="81"/>
            <rFont val="Tahoma"/>
            <family val="2"/>
          </rPr>
          <t>'SD1' is the design spectral response acceleration at 1-second period as determined in IBC 2012 Section 1613.3.4.</t>
        </r>
      </text>
    </comment>
    <comment ref="C36" authorId="2">
      <text>
        <r>
          <rPr>
            <b/>
            <sz val="8"/>
            <color indexed="81"/>
            <rFont val="Tahoma"/>
            <family val="2"/>
          </rPr>
          <t xml:space="preserve">                      IBC 2012 TABLE 1613.3.5(1)
            SEISMIC DESIGN CATEGORY BASED ON
</t>
        </r>
        <r>
          <rPr>
            <b/>
            <u/>
            <sz val="8"/>
            <color indexed="81"/>
            <rFont val="Tahoma"/>
            <family val="2"/>
          </rPr>
          <t xml:space="preserve">        SHORT-PERIOD RESPONSE ACCELERATIONS           </t>
        </r>
        <r>
          <rPr>
            <b/>
            <sz val="8"/>
            <color indexed="81"/>
            <rFont val="Tahoma"/>
            <family val="2"/>
          </rPr>
          <t xml:space="preserve"> </t>
        </r>
        <r>
          <rPr>
            <sz val="8"/>
            <color indexed="81"/>
            <rFont val="Tahoma"/>
            <family val="2"/>
          </rPr>
          <t xml:space="preserve">
                                                             RISK  CATEGORY
</t>
        </r>
        <r>
          <rPr>
            <u/>
            <sz val="8"/>
            <color indexed="81"/>
            <rFont val="Tahoma"/>
            <family val="2"/>
          </rPr>
          <t xml:space="preserve">       VALUE OF SDS                            I or II     III         IV        </t>
        </r>
        <r>
          <rPr>
            <sz val="8"/>
            <color indexed="81"/>
            <rFont val="Tahoma"/>
            <family val="2"/>
          </rPr>
          <t xml:space="preserve">       
SDS &lt; 0.167g                                       A          A          A
0.167g &lt;= SDS &lt; 0.33g                       B          B          C
0.33g &lt;= SDS &lt; 0.50g                         C         C           D
</t>
        </r>
        <r>
          <rPr>
            <u/>
            <sz val="8"/>
            <color indexed="81"/>
            <rFont val="Tahoma"/>
            <family val="2"/>
          </rPr>
          <t xml:space="preserve">0.50g &lt;= SDS                                       D         D           D      </t>
        </r>
        <r>
          <rPr>
            <sz val="8"/>
            <color indexed="81"/>
            <rFont val="Tahoma"/>
            <family val="2"/>
          </rPr>
          <t xml:space="preserve">
                       </t>
        </r>
      </text>
    </comment>
    <comment ref="C37" authorId="2">
      <text>
        <r>
          <rPr>
            <b/>
            <sz val="8"/>
            <color indexed="81"/>
            <rFont val="Tahoma"/>
            <family val="2"/>
          </rPr>
          <t xml:space="preserve">                      IBC 2012 TABLE 1613.3.5(2)
            SEISMIC DESIGN CATEGORY BASED ON
</t>
        </r>
        <r>
          <rPr>
            <b/>
            <u/>
            <sz val="8"/>
            <color indexed="81"/>
            <rFont val="Tahoma"/>
            <family val="2"/>
          </rPr>
          <t xml:space="preserve">     1-SECOND PERIOD RESPONSE ACCELERATIONS           </t>
        </r>
        <r>
          <rPr>
            <b/>
            <sz val="8"/>
            <color indexed="81"/>
            <rFont val="Tahoma"/>
            <family val="2"/>
          </rPr>
          <t xml:space="preserve"> </t>
        </r>
        <r>
          <rPr>
            <sz val="8"/>
            <color indexed="81"/>
            <rFont val="Tahoma"/>
            <family val="2"/>
          </rPr>
          <t xml:space="preserve">
                                                             RISK  CATEGORY
</t>
        </r>
        <r>
          <rPr>
            <u/>
            <sz val="8"/>
            <color indexed="81"/>
            <rFont val="Tahoma"/>
            <family val="2"/>
          </rPr>
          <t xml:space="preserve">       VALUE OF SD1                            I or II     III         IV        </t>
        </r>
        <r>
          <rPr>
            <sz val="8"/>
            <color indexed="81"/>
            <rFont val="Tahoma"/>
            <family val="2"/>
          </rPr>
          <t xml:space="preserve">       
SD1 &lt; 0.067g                                       A          A          A
0.067g &lt;= SD1 &lt; 0.133g                     B          B          C
0.133g &lt;= SD1 &lt; 0.20g                       C         C          D
</t>
        </r>
        <r>
          <rPr>
            <u/>
            <sz val="8"/>
            <color indexed="81"/>
            <rFont val="Tahoma"/>
            <family val="2"/>
          </rPr>
          <t>0.20g &lt;= SD1                                       D</t>
        </r>
        <r>
          <rPr>
            <i/>
            <u/>
            <sz val="8"/>
            <color indexed="81"/>
            <rFont val="Tahoma"/>
            <family val="2"/>
          </rPr>
          <t>(a)</t>
        </r>
        <r>
          <rPr>
            <u/>
            <sz val="8"/>
            <color indexed="81"/>
            <rFont val="Tahoma"/>
            <family val="2"/>
          </rPr>
          <t xml:space="preserve">     D</t>
        </r>
        <r>
          <rPr>
            <i/>
            <u/>
            <sz val="8"/>
            <color indexed="81"/>
            <rFont val="Tahoma"/>
            <family val="2"/>
          </rPr>
          <t>(a)</t>
        </r>
        <r>
          <rPr>
            <u/>
            <sz val="8"/>
            <color indexed="81"/>
            <rFont val="Tahoma"/>
            <family val="2"/>
          </rPr>
          <t xml:space="preserve">   D</t>
        </r>
        <r>
          <rPr>
            <i/>
            <u/>
            <sz val="8"/>
            <color indexed="81"/>
            <rFont val="Tahoma"/>
            <family val="2"/>
          </rPr>
          <t>(a)</t>
        </r>
        <r>
          <rPr>
            <u/>
            <sz val="8"/>
            <color indexed="81"/>
            <rFont val="Tahoma"/>
            <family val="2"/>
          </rPr>
          <t xml:space="preserve">      </t>
        </r>
        <r>
          <rPr>
            <sz val="8"/>
            <color indexed="81"/>
            <rFont val="Tahoma"/>
            <family val="2"/>
          </rPr>
          <t xml:space="preserve">
Note from Section 1613.3.5:      
        Structures classified as Risk  Category I, II, or III 
        that are located where the mapped spectral response 
        acceleration at 1-second period, S1, is greater than or
        equal to 0.75g shall be assigned to Seismic Design
        Category E.  Structures classified as Occupancy 
        Category IV that are located where the mapped 
        spectral response acceleration at 1-second period, S1,
        is greater than or equal to 0.75g shall be assigned to 
        Seismic Design Category F.    </t>
        </r>
      </text>
    </comment>
    <comment ref="C38" authorId="2">
      <text>
        <r>
          <rPr>
            <sz val="8"/>
            <color indexed="81"/>
            <rFont val="Tahoma"/>
            <family val="2"/>
          </rPr>
          <t>Seismic Design Category to be used shall be the the highest (most critical) category as determined from IBC 2012 Table 1613.3.5(1) using 'SDS' and IBC 2012 Table 1613.3.5(2) using 'SD1'.</t>
        </r>
      </text>
    </comment>
    <comment ref="C41" authorId="1">
      <text>
        <r>
          <rPr>
            <sz val="8"/>
            <color indexed="81"/>
            <rFont val="Tahoma"/>
            <family val="2"/>
          </rPr>
          <t>The Component Amplification Factor, "ap", is determined from ASCE 7-10 Table 13.5-1.
(See designated worksheet for reference.)</t>
        </r>
      </text>
    </comment>
    <comment ref="C42" authorId="1">
      <text>
        <r>
          <rPr>
            <sz val="8"/>
            <color indexed="81"/>
            <rFont val="Tahoma"/>
            <family val="2"/>
          </rPr>
          <t>The Component Response Modification Coefficient, "Rp", is determined from ASCE 7-10 Table 13.5-1.
(See designated worksheet for reference.)</t>
        </r>
      </text>
    </comment>
  </commentList>
</comments>
</file>

<file path=xl/sharedStrings.xml><?xml version="1.0" encoding="utf-8"?>
<sst xmlns="http://schemas.openxmlformats.org/spreadsheetml/2006/main" count="5087" uniqueCount="1246">
  <si>
    <t xml:space="preserve">   (Regular Bldg. Configurations Only)</t>
  </si>
  <si>
    <t>&gt;= 0.4</t>
  </si>
  <si>
    <r>
      <t>Acceleration at 1 second period. S</t>
    </r>
    <r>
      <rPr>
        <sz val="8"/>
        <color indexed="12"/>
        <rFont val="Arial"/>
        <family val="2"/>
      </rPr>
      <t>D1</t>
    </r>
  </si>
  <si>
    <r>
      <t xml:space="preserve">k = 1 for T&lt;=0.5 </t>
    </r>
    <r>
      <rPr>
        <sz val="8"/>
        <rFont val="Arial"/>
        <family val="2"/>
      </rPr>
      <t>sec.</t>
    </r>
    <r>
      <rPr>
        <sz val="10"/>
        <rFont val="Arial"/>
        <family val="2"/>
      </rPr>
      <t xml:space="preserve">, k = 2 for T&gt;=2.5 </t>
    </r>
    <r>
      <rPr>
        <sz val="8"/>
        <rFont val="Arial"/>
        <family val="2"/>
      </rPr>
      <t>sec.</t>
    </r>
  </si>
  <si>
    <r>
      <t xml:space="preserve">k = (2-1)*(T-0.5)/(2.5-0.5)+1, for 0.5 </t>
    </r>
    <r>
      <rPr>
        <sz val="8"/>
        <rFont val="Arial"/>
        <family val="2"/>
      </rPr>
      <t>sec.</t>
    </r>
    <r>
      <rPr>
        <sz val="10"/>
        <rFont val="Arial"/>
        <family val="2"/>
      </rPr>
      <t xml:space="preserve"> &lt; T &lt; 2.5 </t>
    </r>
    <r>
      <rPr>
        <sz val="8"/>
        <rFont val="Arial"/>
        <family val="2"/>
      </rPr>
      <t>sec.</t>
    </r>
  </si>
  <si>
    <t>(in.)</t>
  </si>
  <si>
    <r>
      <t xml:space="preserve"> </t>
    </r>
    <r>
      <rPr>
        <sz val="10"/>
        <color indexed="12"/>
        <rFont val="Symbol"/>
        <family val="1"/>
        <charset val="2"/>
      </rPr>
      <t>D</t>
    </r>
    <r>
      <rPr>
        <sz val="8"/>
        <color indexed="12"/>
        <rFont val="Arial"/>
        <family val="2"/>
      </rPr>
      <t>a</t>
    </r>
    <r>
      <rPr>
        <sz val="10"/>
        <color indexed="12"/>
        <rFont val="Arial"/>
        <family val="2"/>
      </rPr>
      <t>/h</t>
    </r>
    <r>
      <rPr>
        <sz val="8"/>
        <color indexed="12"/>
        <rFont val="Arial"/>
        <family val="2"/>
      </rPr>
      <t>sx</t>
    </r>
  </si>
  <si>
    <t>Amplified Elastic Story Deflection:</t>
  </si>
  <si>
    <r>
      <t xml:space="preserve">Deflect., </t>
    </r>
    <r>
      <rPr>
        <sz val="10"/>
        <rFont val="Symbol"/>
        <family val="1"/>
        <charset val="2"/>
      </rPr>
      <t>d</t>
    </r>
    <r>
      <rPr>
        <sz val="8"/>
        <rFont val="Arial"/>
        <family val="2"/>
      </rPr>
      <t>xe</t>
    </r>
  </si>
  <si>
    <t>Allowable Story Drift</t>
  </si>
  <si>
    <r>
      <t>(</t>
    </r>
    <r>
      <rPr>
        <sz val="8"/>
        <rFont val="Symbol"/>
        <family val="1"/>
        <charset val="2"/>
      </rPr>
      <t>d</t>
    </r>
    <r>
      <rPr>
        <sz val="8"/>
        <rFont val="Arial"/>
        <family val="2"/>
      </rPr>
      <t xml:space="preserve">xe &lt;= </t>
    </r>
    <r>
      <rPr>
        <sz val="8"/>
        <rFont val="Symbol"/>
        <family val="1"/>
        <charset val="2"/>
      </rPr>
      <t>D</t>
    </r>
    <r>
      <rPr>
        <sz val="8"/>
        <rFont val="Arial"/>
        <family val="2"/>
      </rPr>
      <t>a)</t>
    </r>
  </si>
  <si>
    <t>Drift Check</t>
  </si>
  <si>
    <t>also calculated.  Seismic maps are also included.</t>
  </si>
  <si>
    <r>
      <t xml:space="preserve"> </t>
    </r>
    <r>
      <rPr>
        <sz val="10"/>
        <color indexed="12"/>
        <rFont val="Symbol"/>
        <family val="1"/>
        <charset val="2"/>
      </rPr>
      <t>W</t>
    </r>
    <r>
      <rPr>
        <sz val="8"/>
        <color indexed="12"/>
        <rFont val="Arial"/>
        <family val="2"/>
      </rPr>
      <t>o</t>
    </r>
  </si>
  <si>
    <r>
      <t xml:space="preserve">              </t>
    </r>
    <r>
      <rPr>
        <sz val="10"/>
        <color indexed="12"/>
        <rFont val="Symbol"/>
        <family val="1"/>
        <charset val="2"/>
      </rPr>
      <t>d</t>
    </r>
    <r>
      <rPr>
        <sz val="8"/>
        <color indexed="12"/>
        <rFont val="Arial"/>
        <family val="2"/>
      </rPr>
      <t>e10</t>
    </r>
  </si>
  <si>
    <r>
      <t xml:space="preserve">              </t>
    </r>
    <r>
      <rPr>
        <sz val="10"/>
        <color indexed="12"/>
        <rFont val="Symbol"/>
        <family val="1"/>
        <charset val="2"/>
      </rPr>
      <t>d</t>
    </r>
    <r>
      <rPr>
        <sz val="8"/>
        <color indexed="12"/>
        <rFont val="Arial"/>
        <family val="2"/>
      </rPr>
      <t>e9</t>
    </r>
  </si>
  <si>
    <r>
      <t xml:space="preserve">            </t>
    </r>
    <r>
      <rPr>
        <sz val="10"/>
        <color indexed="12"/>
        <rFont val="Symbol"/>
        <family val="1"/>
        <charset val="2"/>
      </rPr>
      <t>d</t>
    </r>
    <r>
      <rPr>
        <sz val="8"/>
        <color indexed="12"/>
        <rFont val="Arial"/>
        <family val="2"/>
      </rPr>
      <t>e8</t>
    </r>
  </si>
  <si>
    <r>
      <t xml:space="preserve">          </t>
    </r>
    <r>
      <rPr>
        <sz val="10"/>
        <color indexed="12"/>
        <rFont val="Symbol"/>
        <family val="1"/>
        <charset val="2"/>
      </rPr>
      <t>d</t>
    </r>
    <r>
      <rPr>
        <sz val="8"/>
        <color indexed="12"/>
        <rFont val="Arial"/>
        <family val="2"/>
      </rPr>
      <t>e7</t>
    </r>
  </si>
  <si>
    <r>
      <t xml:space="preserve">         </t>
    </r>
    <r>
      <rPr>
        <sz val="10"/>
        <color indexed="12"/>
        <rFont val="Symbol"/>
        <family val="1"/>
        <charset val="2"/>
      </rPr>
      <t>d</t>
    </r>
    <r>
      <rPr>
        <sz val="8"/>
        <color indexed="12"/>
        <rFont val="Arial"/>
        <family val="2"/>
      </rPr>
      <t>e6</t>
    </r>
  </si>
  <si>
    <r>
      <t xml:space="preserve">        </t>
    </r>
    <r>
      <rPr>
        <sz val="10"/>
        <color indexed="12"/>
        <rFont val="Symbol"/>
        <family val="1"/>
        <charset val="2"/>
      </rPr>
      <t>d</t>
    </r>
    <r>
      <rPr>
        <sz val="8"/>
        <color indexed="12"/>
        <rFont val="Arial"/>
        <family val="2"/>
      </rPr>
      <t>e5</t>
    </r>
  </si>
  <si>
    <r>
      <t xml:space="preserve">      </t>
    </r>
    <r>
      <rPr>
        <sz val="10"/>
        <color indexed="12"/>
        <rFont val="Symbol"/>
        <family val="1"/>
        <charset val="2"/>
      </rPr>
      <t>d</t>
    </r>
    <r>
      <rPr>
        <sz val="8"/>
        <color indexed="12"/>
        <rFont val="Arial"/>
        <family val="2"/>
      </rPr>
      <t>e4</t>
    </r>
  </si>
  <si>
    <r>
      <t xml:space="preserve">     </t>
    </r>
    <r>
      <rPr>
        <sz val="10"/>
        <color indexed="12"/>
        <rFont val="Symbol"/>
        <family val="1"/>
        <charset val="2"/>
      </rPr>
      <t>d</t>
    </r>
    <r>
      <rPr>
        <sz val="8"/>
        <color indexed="12"/>
        <rFont val="Arial"/>
        <family val="2"/>
      </rPr>
      <t>e3</t>
    </r>
  </si>
  <si>
    <r>
      <t xml:space="preserve">    </t>
    </r>
    <r>
      <rPr>
        <sz val="10"/>
        <color indexed="12"/>
        <rFont val="Symbol"/>
        <family val="1"/>
        <charset val="2"/>
      </rPr>
      <t>d</t>
    </r>
    <r>
      <rPr>
        <sz val="8"/>
        <color indexed="12"/>
        <rFont val="Arial"/>
        <family val="2"/>
      </rPr>
      <t>e2</t>
    </r>
  </si>
  <si>
    <r>
      <t>h</t>
    </r>
    <r>
      <rPr>
        <sz val="8"/>
        <rFont val="Arial"/>
        <family val="2"/>
      </rPr>
      <t>sx</t>
    </r>
    <r>
      <rPr>
        <sz val="10"/>
        <rFont val="Arial"/>
        <family val="2"/>
      </rPr>
      <t xml:space="preserve"> = h</t>
    </r>
    <r>
      <rPr>
        <sz val="8"/>
        <rFont val="Arial"/>
        <family val="2"/>
      </rPr>
      <t>x</t>
    </r>
    <r>
      <rPr>
        <sz val="10"/>
        <rFont val="Arial"/>
        <family val="2"/>
      </rPr>
      <t xml:space="preserve"> - h</t>
    </r>
    <r>
      <rPr>
        <sz val="8"/>
        <rFont val="Arial"/>
        <family val="2"/>
      </rPr>
      <t xml:space="preserve">(x-1)  </t>
    </r>
  </si>
  <si>
    <t>Job Name:</t>
  </si>
  <si>
    <t xml:space="preserve"> </t>
  </si>
  <si>
    <t>Job Number:</t>
  </si>
  <si>
    <t>III</t>
  </si>
  <si>
    <t>I</t>
  </si>
  <si>
    <t>A</t>
  </si>
  <si>
    <t>II</t>
  </si>
  <si>
    <t>B</t>
  </si>
  <si>
    <t>D</t>
  </si>
  <si>
    <t>C</t>
  </si>
  <si>
    <t>IV</t>
  </si>
  <si>
    <t>E</t>
  </si>
  <si>
    <t>F</t>
  </si>
  <si>
    <t>SITE CLASS</t>
  </si>
  <si>
    <t>Note b</t>
  </si>
  <si>
    <t>Checker:</t>
  </si>
  <si>
    <t>Subject:</t>
  </si>
  <si>
    <t>Originator:</t>
  </si>
  <si>
    <t>Location Zip Code =</t>
  </si>
  <si>
    <r>
      <t>F</t>
    </r>
    <r>
      <rPr>
        <sz val="8"/>
        <rFont val="Arial"/>
        <family val="2"/>
      </rPr>
      <t>a</t>
    </r>
    <r>
      <rPr>
        <sz val="10"/>
        <rFont val="Arial"/>
        <family val="2"/>
      </rPr>
      <t xml:space="preserve"> =</t>
    </r>
  </si>
  <si>
    <r>
      <t>F</t>
    </r>
    <r>
      <rPr>
        <sz val="8"/>
        <rFont val="Arial"/>
        <family val="2"/>
      </rPr>
      <t>v</t>
    </r>
    <r>
      <rPr>
        <sz val="10"/>
        <rFont val="Arial"/>
        <family val="2"/>
      </rPr>
      <t xml:space="preserve"> =</t>
    </r>
  </si>
  <si>
    <r>
      <t>S</t>
    </r>
    <r>
      <rPr>
        <sz val="8"/>
        <rFont val="Arial"/>
        <family val="2"/>
      </rPr>
      <t>MS</t>
    </r>
    <r>
      <rPr>
        <sz val="10"/>
        <rFont val="Arial"/>
        <family val="2"/>
      </rPr>
      <t xml:space="preserve"> =</t>
    </r>
  </si>
  <si>
    <r>
      <t>S</t>
    </r>
    <r>
      <rPr>
        <sz val="8"/>
        <rFont val="Arial"/>
        <family val="2"/>
      </rPr>
      <t>M1</t>
    </r>
    <r>
      <rPr>
        <sz val="10"/>
        <rFont val="Arial"/>
        <family val="2"/>
      </rPr>
      <t xml:space="preserve"> =</t>
    </r>
  </si>
  <si>
    <r>
      <t>S</t>
    </r>
    <r>
      <rPr>
        <sz val="8"/>
        <rFont val="Arial"/>
        <family val="2"/>
      </rPr>
      <t>DS</t>
    </r>
    <r>
      <rPr>
        <sz val="10"/>
        <rFont val="Arial"/>
        <family val="2"/>
      </rPr>
      <t xml:space="preserve"> =</t>
    </r>
  </si>
  <si>
    <r>
      <t>S</t>
    </r>
    <r>
      <rPr>
        <sz val="8"/>
        <rFont val="Arial"/>
        <family val="2"/>
      </rPr>
      <t>D1</t>
    </r>
    <r>
      <rPr>
        <sz val="10"/>
        <rFont val="Arial"/>
        <family val="2"/>
      </rPr>
      <t xml:space="preserve"> =</t>
    </r>
  </si>
  <si>
    <r>
      <t>C</t>
    </r>
    <r>
      <rPr>
        <sz val="8"/>
        <rFont val="Arial"/>
        <family val="2"/>
      </rPr>
      <t>S(min)</t>
    </r>
    <r>
      <rPr>
        <sz val="10"/>
        <rFont val="Arial"/>
        <family val="2"/>
      </rPr>
      <t xml:space="preserve"> </t>
    </r>
    <r>
      <rPr>
        <sz val="10"/>
        <rFont val="Arial"/>
        <family val="2"/>
      </rPr>
      <t>=</t>
    </r>
  </si>
  <si>
    <r>
      <t>Value of S</t>
    </r>
    <r>
      <rPr>
        <sz val="8"/>
        <color indexed="12"/>
        <rFont val="Arial"/>
        <family val="2"/>
      </rPr>
      <t>D1</t>
    </r>
  </si>
  <si>
    <r>
      <t>Value of S</t>
    </r>
    <r>
      <rPr>
        <sz val="8"/>
        <color indexed="12"/>
        <rFont val="Arial"/>
        <family val="2"/>
      </rPr>
      <t>DS</t>
    </r>
  </si>
  <si>
    <r>
      <t>S</t>
    </r>
    <r>
      <rPr>
        <sz val="8"/>
        <color indexed="12"/>
        <rFont val="Arial"/>
        <family val="2"/>
      </rPr>
      <t>DS</t>
    </r>
    <r>
      <rPr>
        <sz val="10"/>
        <color indexed="12"/>
        <rFont val="Arial"/>
        <family val="2"/>
      </rPr>
      <t>&lt;0.167g</t>
    </r>
  </si>
  <si>
    <r>
      <t>S</t>
    </r>
    <r>
      <rPr>
        <sz val="8"/>
        <color indexed="12"/>
        <rFont val="Arial"/>
        <family val="2"/>
      </rPr>
      <t>D1</t>
    </r>
    <r>
      <rPr>
        <sz val="10"/>
        <color indexed="12"/>
        <rFont val="Arial"/>
        <family val="2"/>
      </rPr>
      <t>&lt;0.067g</t>
    </r>
  </si>
  <si>
    <t>ft.</t>
  </si>
  <si>
    <t>CALCULATIONS:</t>
  </si>
  <si>
    <t>(Use)</t>
  </si>
  <si>
    <t>Input Data:</t>
  </si>
  <si>
    <t>Seismic Design Category:</t>
  </si>
  <si>
    <t>Seismic Base Shear:</t>
  </si>
  <si>
    <r>
      <t>Structure Height, h</t>
    </r>
    <r>
      <rPr>
        <sz val="8"/>
        <rFont val="Arial"/>
        <family val="2"/>
      </rPr>
      <t>n</t>
    </r>
    <r>
      <rPr>
        <sz val="10"/>
        <rFont val="Arial"/>
        <family val="2"/>
      </rPr>
      <t xml:space="preserve"> =</t>
    </r>
  </si>
  <si>
    <t>V =</t>
  </si>
  <si>
    <t>Category</t>
  </si>
  <si>
    <t>Structure Weight Distribution:</t>
  </si>
  <si>
    <t>S1&lt;=0.1g</t>
  </si>
  <si>
    <t>S1=0.2g</t>
  </si>
  <si>
    <t>S1=0.3g</t>
  </si>
  <si>
    <t>S1=0.4g</t>
  </si>
  <si>
    <t>S1&gt;=0.5g</t>
  </si>
  <si>
    <r>
      <t>S</t>
    </r>
    <r>
      <rPr>
        <sz val="8"/>
        <color indexed="12"/>
        <rFont val="Arial"/>
        <family val="2"/>
      </rPr>
      <t>S</t>
    </r>
    <r>
      <rPr>
        <sz val="10"/>
        <color indexed="12"/>
        <rFont val="Arial"/>
        <family val="2"/>
      </rPr>
      <t>&lt;=0.25g</t>
    </r>
  </si>
  <si>
    <r>
      <t>S</t>
    </r>
    <r>
      <rPr>
        <sz val="8"/>
        <color indexed="12"/>
        <rFont val="Arial"/>
        <family val="2"/>
      </rPr>
      <t>S</t>
    </r>
    <r>
      <rPr>
        <sz val="10"/>
        <color indexed="12"/>
        <rFont val="Arial"/>
        <family val="2"/>
      </rPr>
      <t>=0.50g</t>
    </r>
  </si>
  <si>
    <r>
      <t>S</t>
    </r>
    <r>
      <rPr>
        <sz val="8"/>
        <color indexed="12"/>
        <rFont val="Arial"/>
        <family val="2"/>
      </rPr>
      <t>S</t>
    </r>
    <r>
      <rPr>
        <sz val="10"/>
        <color indexed="12"/>
        <rFont val="Arial"/>
        <family val="2"/>
      </rPr>
      <t>=0.75g</t>
    </r>
  </si>
  <si>
    <r>
      <t>S</t>
    </r>
    <r>
      <rPr>
        <sz val="8"/>
        <color indexed="12"/>
        <rFont val="Arial"/>
        <family val="2"/>
      </rPr>
      <t>S</t>
    </r>
    <r>
      <rPr>
        <sz val="10"/>
        <color indexed="12"/>
        <rFont val="Arial"/>
        <family val="2"/>
      </rPr>
      <t>=1.00g</t>
    </r>
  </si>
  <si>
    <r>
      <t>S</t>
    </r>
    <r>
      <rPr>
        <sz val="8"/>
        <color indexed="12"/>
        <rFont val="Arial"/>
        <family val="2"/>
      </rPr>
      <t>S</t>
    </r>
    <r>
      <rPr>
        <sz val="10"/>
        <color indexed="12"/>
        <rFont val="Arial"/>
        <family val="2"/>
      </rPr>
      <t>&gt;=1.25g</t>
    </r>
  </si>
  <si>
    <t>Results:</t>
  </si>
  <si>
    <r>
      <t>Category(for S</t>
    </r>
    <r>
      <rPr>
        <sz val="8"/>
        <rFont val="Arial"/>
        <family val="2"/>
      </rPr>
      <t>DS</t>
    </r>
    <r>
      <rPr>
        <sz val="10"/>
        <rFont val="Arial"/>
        <family val="2"/>
      </rPr>
      <t>) =</t>
    </r>
  </si>
  <si>
    <r>
      <t>Category(for S</t>
    </r>
    <r>
      <rPr>
        <sz val="8"/>
        <rFont val="Arial"/>
        <family val="2"/>
      </rPr>
      <t>D1</t>
    </r>
    <r>
      <rPr>
        <sz val="10"/>
        <rFont val="Arial"/>
        <family val="2"/>
      </rPr>
      <t>) =</t>
    </r>
  </si>
  <si>
    <r>
      <t>C</t>
    </r>
    <r>
      <rPr>
        <sz val="8"/>
        <rFont val="Arial"/>
        <family val="2"/>
      </rPr>
      <t>S</t>
    </r>
    <r>
      <rPr>
        <sz val="10"/>
        <rFont val="Arial"/>
        <family val="2"/>
      </rPr>
      <t xml:space="preserve"> </t>
    </r>
    <r>
      <rPr>
        <sz val="10"/>
        <rFont val="Arial"/>
        <family val="2"/>
      </rPr>
      <t>=</t>
    </r>
  </si>
  <si>
    <r>
      <t>C</t>
    </r>
    <r>
      <rPr>
        <sz val="8"/>
        <rFont val="Arial"/>
        <family val="2"/>
      </rPr>
      <t>S(max)</t>
    </r>
    <r>
      <rPr>
        <sz val="10"/>
        <rFont val="Arial"/>
        <family val="2"/>
      </rPr>
      <t xml:space="preserve"> </t>
    </r>
    <r>
      <rPr>
        <sz val="10"/>
        <rFont val="Arial"/>
        <family val="2"/>
      </rPr>
      <t>=</t>
    </r>
  </si>
  <si>
    <t>SEISMIC BASE SHEAR AND VERTICAL SHEAR DISTRIBUTION</t>
  </si>
  <si>
    <t>Design Spectral  Response Accelerations for Short and 1-Second Periods :</t>
  </si>
  <si>
    <t>Site Coefficients:</t>
  </si>
  <si>
    <r>
      <t>Use: C</t>
    </r>
    <r>
      <rPr>
        <sz val="8"/>
        <rFont val="Arial"/>
        <family val="2"/>
      </rPr>
      <t>S</t>
    </r>
    <r>
      <rPr>
        <sz val="10"/>
        <rFont val="Arial"/>
        <family val="2"/>
      </rPr>
      <t xml:space="preserve"> =</t>
    </r>
  </si>
  <si>
    <r>
      <t>C</t>
    </r>
    <r>
      <rPr>
        <sz val="8"/>
        <rFont val="Arial"/>
        <family val="2"/>
      </rPr>
      <t>S(min)</t>
    </r>
    <r>
      <rPr>
        <sz val="10"/>
        <rFont val="Arial"/>
        <family val="2"/>
      </rPr>
      <t xml:space="preserve"> &lt;= C</t>
    </r>
    <r>
      <rPr>
        <sz val="8"/>
        <rFont val="Arial"/>
        <family val="2"/>
      </rPr>
      <t>S</t>
    </r>
    <r>
      <rPr>
        <sz val="10"/>
        <rFont val="Arial"/>
        <family val="2"/>
      </rPr>
      <t xml:space="preserve"> &lt;= C</t>
    </r>
    <r>
      <rPr>
        <sz val="8"/>
        <rFont val="Arial"/>
        <family val="2"/>
      </rPr>
      <t xml:space="preserve">S(max) </t>
    </r>
  </si>
  <si>
    <t>Use Category:</t>
  </si>
  <si>
    <t>Use Category =</t>
  </si>
  <si>
    <t>Most critical of either category case above controls</t>
  </si>
  <si>
    <r>
      <t>S</t>
    </r>
    <r>
      <rPr>
        <sz val="10"/>
        <rFont val="Arial"/>
        <family val="2"/>
      </rPr>
      <t xml:space="preserve"> =</t>
    </r>
  </si>
  <si>
    <t>Seismic</t>
  </si>
  <si>
    <t>Shears</t>
  </si>
  <si>
    <t>(ft-kips)</t>
  </si>
  <si>
    <t>(ft.)</t>
  </si>
  <si>
    <t>No. of Seismic Levels =</t>
  </si>
  <si>
    <r>
      <t>S</t>
    </r>
    <r>
      <rPr>
        <sz val="10"/>
        <rFont val="Arial"/>
        <family val="2"/>
      </rPr>
      <t xml:space="preserve"> Story</t>
    </r>
  </si>
  <si>
    <t>(kips)</t>
  </si>
  <si>
    <r>
      <t>W</t>
    </r>
    <r>
      <rPr>
        <sz val="8"/>
        <rFont val="Arial"/>
        <family val="2"/>
      </rPr>
      <t>x</t>
    </r>
    <r>
      <rPr>
        <sz val="10"/>
        <rFont val="Arial"/>
        <family val="2"/>
      </rPr>
      <t>*h</t>
    </r>
    <r>
      <rPr>
        <sz val="8"/>
        <rFont val="Arial"/>
        <family val="2"/>
      </rPr>
      <t>^k</t>
    </r>
    <r>
      <rPr>
        <sz val="10"/>
        <rFont val="Arial"/>
        <family val="2"/>
      </rPr>
      <t xml:space="preserve"> </t>
    </r>
  </si>
  <si>
    <t>(%)</t>
  </si>
  <si>
    <r>
      <t>C</t>
    </r>
    <r>
      <rPr>
        <sz val="8"/>
        <rFont val="Arial"/>
        <family val="2"/>
      </rPr>
      <t>vx</t>
    </r>
  </si>
  <si>
    <t>Level x</t>
  </si>
  <si>
    <r>
      <t xml:space="preserve">    </t>
    </r>
    <r>
      <rPr>
        <b/>
        <u/>
        <sz val="10"/>
        <rFont val="Arial"/>
        <family val="2"/>
      </rPr>
      <t>Seismic Base Shear</t>
    </r>
  </si>
  <si>
    <t>Distribution Exponent, k =</t>
  </si>
  <si>
    <r>
      <t>h</t>
    </r>
    <r>
      <rPr>
        <sz val="8"/>
        <rFont val="Arial"/>
        <family val="2"/>
      </rPr>
      <t>x^k</t>
    </r>
    <r>
      <rPr>
        <sz val="10"/>
        <rFont val="Arial"/>
        <family val="2"/>
      </rPr>
      <t xml:space="preserve"> </t>
    </r>
  </si>
  <si>
    <t>Vertical Distribution Factor:</t>
  </si>
  <si>
    <t>Lateral Force at Any Level:</t>
  </si>
  <si>
    <t>Comments:</t>
  </si>
  <si>
    <t>Height, hx</t>
  </si>
  <si>
    <t>Weight, Wx</t>
  </si>
  <si>
    <r>
      <t>Shear, F</t>
    </r>
    <r>
      <rPr>
        <sz val="8"/>
        <rFont val="Arial"/>
        <family val="2"/>
      </rPr>
      <t>x</t>
    </r>
  </si>
  <si>
    <r>
      <t>Long. Trans. Period, T</t>
    </r>
    <r>
      <rPr>
        <sz val="8"/>
        <rFont val="Arial"/>
        <family val="2"/>
      </rPr>
      <t>L</t>
    </r>
    <r>
      <rPr>
        <sz val="10"/>
        <rFont val="Arial"/>
        <family val="2"/>
      </rPr>
      <t xml:space="preserve"> =</t>
    </r>
  </si>
  <si>
    <t>R</t>
  </si>
  <si>
    <t>NL</t>
  </si>
  <si>
    <t>A or B</t>
  </si>
  <si>
    <t>NP</t>
  </si>
  <si>
    <t xml:space="preserve">Detailed plain concrete shear walls          </t>
  </si>
  <si>
    <t xml:space="preserve">Ordinary plain concrete shear walls          </t>
  </si>
  <si>
    <t xml:space="preserve">Detailed plain masonry shear walls          </t>
  </si>
  <si>
    <t xml:space="preserve">Ordinary plain masonry shear walls          </t>
  </si>
  <si>
    <r>
      <t>Upper Limit Coef., C</t>
    </r>
    <r>
      <rPr>
        <sz val="8"/>
        <rFont val="Arial"/>
        <family val="2"/>
      </rPr>
      <t>u</t>
    </r>
    <r>
      <rPr>
        <sz val="10"/>
        <rFont val="Arial"/>
        <family val="2"/>
      </rPr>
      <t xml:space="preserve"> =</t>
    </r>
  </si>
  <si>
    <t>x</t>
  </si>
  <si>
    <t>Period Exponent, x =</t>
  </si>
  <si>
    <t>Amplified Story Drift:</t>
  </si>
  <si>
    <r>
      <t xml:space="preserve">Drift, </t>
    </r>
    <r>
      <rPr>
        <sz val="10"/>
        <rFont val="Symbol"/>
        <family val="1"/>
        <charset val="2"/>
      </rPr>
      <t>D</t>
    </r>
    <r>
      <rPr>
        <sz val="8"/>
        <rFont val="Arial"/>
        <family val="2"/>
      </rPr>
      <t>x</t>
    </r>
  </si>
  <si>
    <t>Allowable Story Drift:</t>
  </si>
  <si>
    <t>Story Height:</t>
  </si>
  <si>
    <r>
      <t xml:space="preserve">    </t>
    </r>
    <r>
      <rPr>
        <b/>
        <u/>
        <sz val="10"/>
        <rFont val="Arial"/>
        <family val="2"/>
      </rPr>
      <t>Seismic Story Drift</t>
    </r>
  </si>
  <si>
    <t>Special reinforced concrete shear walls</t>
  </si>
  <si>
    <t>Ordinary reinforced concrete shear walls</t>
  </si>
  <si>
    <t>Detailed plain concrete shear walls</t>
  </si>
  <si>
    <t>Ordinary plain concrete shear walls</t>
  </si>
  <si>
    <t>Special reinforced masonry shear walls</t>
  </si>
  <si>
    <t>Intermediate reinf. masonry shear walls</t>
  </si>
  <si>
    <t>Ordinary reinforced masonry shear walls</t>
  </si>
  <si>
    <t>Detailed plain masonry shear walls</t>
  </si>
  <si>
    <t>Ordinary plain masonry shear walls</t>
  </si>
  <si>
    <t xml:space="preserve">12.  This program automatically selects the appropriate seismic response modifier, "R", once the type of seismic </t>
  </si>
  <si>
    <t>13. This program will automatically alert the user with a "warning message" when any applicable limitations have</t>
  </si>
  <si>
    <t>14. This program contains numerous “comment boxes” which contain a wide variety of information including</t>
  </si>
  <si>
    <t>Special reinforced concrete moment frames</t>
  </si>
  <si>
    <t xml:space="preserve">structures is calculated.  For Multi-Level Buildings, the vertical distribution of the total seismic shear is also </t>
  </si>
  <si>
    <t xml:space="preserve">determined, and a drift analysis can also be performed..  The seismic restraint force for various components is </t>
  </si>
  <si>
    <t>Response Mod. Coef., R =</t>
  </si>
  <si>
    <t>Seismic Design Coefficients and Factors:</t>
  </si>
  <si>
    <r>
      <t>C</t>
    </r>
    <r>
      <rPr>
        <sz val="8"/>
        <color indexed="12"/>
        <rFont val="Arial"/>
        <family val="2"/>
      </rPr>
      <t>T</t>
    </r>
  </si>
  <si>
    <r>
      <t>h</t>
    </r>
    <r>
      <rPr>
        <sz val="8"/>
        <color indexed="12"/>
        <rFont val="Arial"/>
        <family val="2"/>
      </rPr>
      <t>n (ft.)</t>
    </r>
  </si>
  <si>
    <t>Soil Site Class =</t>
  </si>
  <si>
    <r>
      <t>and Mapped Spectral Response Acceleration at Short Periods (S</t>
    </r>
    <r>
      <rPr>
        <sz val="8"/>
        <color indexed="12"/>
        <rFont val="Arial"/>
        <family val="2"/>
      </rPr>
      <t>S</t>
    </r>
    <r>
      <rPr>
        <sz val="10"/>
        <color indexed="12"/>
        <rFont val="Arial"/>
        <family val="2"/>
      </rPr>
      <t>)</t>
    </r>
  </si>
  <si>
    <r>
      <t>and Mapped Spectral Response Acceleration at 1-Second Period (S</t>
    </r>
    <r>
      <rPr>
        <sz val="8"/>
        <color indexed="12"/>
        <rFont val="Arial"/>
        <family val="2"/>
      </rPr>
      <t>1</t>
    </r>
    <r>
      <rPr>
        <sz val="10"/>
        <color indexed="12"/>
        <rFont val="Arial"/>
        <family val="2"/>
      </rPr>
      <t>)</t>
    </r>
  </si>
  <si>
    <t>Counter</t>
  </si>
  <si>
    <t>System Limitations and Building Height Limits</t>
  </si>
  <si>
    <t>Basic Seismic-Force Resisting System</t>
  </si>
  <si>
    <t>Check?</t>
  </si>
  <si>
    <r>
      <t>Spectral Accel., S</t>
    </r>
    <r>
      <rPr>
        <sz val="8"/>
        <rFont val="Arial"/>
        <family val="2"/>
      </rPr>
      <t>S</t>
    </r>
    <r>
      <rPr>
        <sz val="10"/>
        <rFont val="Arial"/>
        <family val="2"/>
      </rPr>
      <t xml:space="preserve"> =</t>
    </r>
  </si>
  <si>
    <r>
      <t>Spectral Accel., S</t>
    </r>
    <r>
      <rPr>
        <sz val="8"/>
        <rFont val="Arial"/>
        <family val="2"/>
      </rPr>
      <t>1</t>
    </r>
    <r>
      <rPr>
        <sz val="10"/>
        <rFont val="Arial"/>
        <family val="2"/>
      </rPr>
      <t xml:space="preserve"> =</t>
    </r>
  </si>
  <si>
    <r>
      <t xml:space="preserve">Total Weight, W = </t>
    </r>
    <r>
      <rPr>
        <sz val="10"/>
        <rFont val="Symbol"/>
        <family val="1"/>
        <charset val="2"/>
      </rPr>
      <t>S</t>
    </r>
    <r>
      <rPr>
        <sz val="10"/>
        <rFont val="Arial"/>
        <family val="2"/>
      </rPr>
      <t>W</t>
    </r>
    <r>
      <rPr>
        <sz val="8"/>
        <rFont val="Arial"/>
        <family val="2"/>
      </rPr>
      <t>x</t>
    </r>
    <r>
      <rPr>
        <sz val="10"/>
        <rFont val="Arial"/>
        <family val="2"/>
      </rPr>
      <t xml:space="preserve"> =</t>
    </r>
  </si>
  <si>
    <t>Fundamental Period:</t>
  </si>
  <si>
    <r>
      <t>C</t>
    </r>
    <r>
      <rPr>
        <sz val="8"/>
        <color indexed="12"/>
        <rFont val="Arial"/>
        <family val="2"/>
      </rPr>
      <t>d</t>
    </r>
  </si>
  <si>
    <t>Seismic Shear Vertical Distribution:</t>
  </si>
  <si>
    <r>
      <t>Period max., T</t>
    </r>
    <r>
      <rPr>
        <sz val="8"/>
        <rFont val="Arial"/>
        <family val="2"/>
      </rPr>
      <t>(max)</t>
    </r>
    <r>
      <rPr>
        <sz val="10"/>
        <rFont val="Arial"/>
        <family val="2"/>
      </rPr>
      <t xml:space="preserve"> =</t>
    </r>
  </si>
  <si>
    <t>I or II</t>
  </si>
  <si>
    <t>Occupancy Category</t>
  </si>
  <si>
    <t>Coefficient for Upper Limit on Calculated Period</t>
  </si>
  <si>
    <t>Max Counter:</t>
  </si>
  <si>
    <t xml:space="preserve">     apply for site class "E", but only when Ss &gt;= 1.25*g and S1 &gt;= 0.5*g.</t>
  </si>
  <si>
    <t>Multi-Level Bldg. (Drift)</t>
  </si>
  <si>
    <t>Seismic story drift analysis for multi-level buildings</t>
  </si>
  <si>
    <r>
      <t xml:space="preserve">Overstrength Factor, </t>
    </r>
    <r>
      <rPr>
        <sz val="10"/>
        <rFont val="Symbol"/>
        <family val="1"/>
        <charset val="2"/>
      </rPr>
      <t>W</t>
    </r>
    <r>
      <rPr>
        <sz val="10"/>
        <rFont val="Arial"/>
        <family val="2"/>
      </rPr>
      <t>o =</t>
    </r>
  </si>
  <si>
    <r>
      <t>Defl. Amplif. Factor, C</t>
    </r>
    <r>
      <rPr>
        <sz val="8"/>
        <rFont val="Arial"/>
        <family val="2"/>
      </rPr>
      <t>d</t>
    </r>
    <r>
      <rPr>
        <sz val="10"/>
        <rFont val="Arial"/>
        <family val="2"/>
      </rPr>
      <t xml:space="preserve"> =</t>
    </r>
  </si>
  <si>
    <t>Subject</t>
  </si>
  <si>
    <t>Table 1604.5</t>
  </si>
  <si>
    <t>Seismic Importance Factor</t>
  </si>
  <si>
    <t>Eqn. 16-38</t>
  </si>
  <si>
    <t>Eqn. 16-39</t>
  </si>
  <si>
    <t>Eqn. 16-40</t>
  </si>
  <si>
    <t>Building Configuration</t>
  </si>
  <si>
    <t>Permitted Analytical Procedures</t>
  </si>
  <si>
    <t>Redundancy</t>
  </si>
  <si>
    <t>Deflection and Drift Limits</t>
  </si>
  <si>
    <t>Equivalent Lateral Force Procedure</t>
  </si>
  <si>
    <t>Seismic Force Resisting Systems</t>
  </si>
  <si>
    <t>Seismic Force Resisting System Coefficients and Factors</t>
  </si>
  <si>
    <t>Architectural, Mechanical, and Electrical Components</t>
  </si>
  <si>
    <t>Nonbuilding Structures</t>
  </si>
  <si>
    <r>
      <t>Mapped 0.2 Second Period Spectral Acceleration, S</t>
    </r>
    <r>
      <rPr>
        <sz val="8"/>
        <rFont val="Arial"/>
        <family val="2"/>
      </rPr>
      <t>s</t>
    </r>
  </si>
  <si>
    <r>
      <t>Mapped 1.0 Second Period Spectral Acceleration, S</t>
    </r>
    <r>
      <rPr>
        <sz val="8"/>
        <rFont val="Arial"/>
        <family val="2"/>
      </rPr>
      <t>1</t>
    </r>
  </si>
  <si>
    <r>
      <t>Acceleration-based Site Coefficient, F</t>
    </r>
    <r>
      <rPr>
        <sz val="8"/>
        <rFont val="Arial"/>
        <family val="2"/>
      </rPr>
      <t>a</t>
    </r>
  </si>
  <si>
    <r>
      <t>Velocity-based Site Coefficient, F</t>
    </r>
    <r>
      <rPr>
        <sz val="8"/>
        <rFont val="Arial"/>
        <family val="2"/>
      </rPr>
      <t>v</t>
    </r>
  </si>
  <si>
    <r>
      <t>Maximum Spectral Response Acceleration, S</t>
    </r>
    <r>
      <rPr>
        <sz val="8"/>
        <rFont val="Arial"/>
        <family val="2"/>
      </rPr>
      <t>MS</t>
    </r>
  </si>
  <si>
    <r>
      <t>Maximum Spectral Response Acceleration, S</t>
    </r>
    <r>
      <rPr>
        <sz val="8"/>
        <rFont val="Arial"/>
        <family val="2"/>
      </rPr>
      <t>M1</t>
    </r>
  </si>
  <si>
    <r>
      <t>Design Spectral Response Acceleration, S</t>
    </r>
    <r>
      <rPr>
        <sz val="8"/>
        <rFont val="Arial"/>
        <family val="2"/>
      </rPr>
      <t>DS</t>
    </r>
  </si>
  <si>
    <r>
      <t>Design Spectral Response Acceleration, S</t>
    </r>
    <r>
      <rPr>
        <sz val="8"/>
        <rFont val="Arial"/>
        <family val="2"/>
      </rPr>
      <t>D1</t>
    </r>
  </si>
  <si>
    <r>
      <t>Seismic Load Effects , E and E</t>
    </r>
    <r>
      <rPr>
        <sz val="8"/>
        <rFont val="Arial"/>
        <family val="2"/>
      </rPr>
      <t>m</t>
    </r>
  </si>
  <si>
    <r>
      <t xml:space="preserve">               </t>
    </r>
    <r>
      <rPr>
        <sz val="10"/>
        <color indexed="12"/>
        <rFont val="Arial"/>
        <family val="2"/>
      </rPr>
      <t>F</t>
    </r>
    <r>
      <rPr>
        <sz val="8"/>
        <color indexed="12"/>
        <rFont val="Arial"/>
        <family val="2"/>
      </rPr>
      <t>10</t>
    </r>
  </si>
  <si>
    <r>
      <t xml:space="preserve">     </t>
    </r>
    <r>
      <rPr>
        <sz val="10"/>
        <color indexed="12"/>
        <rFont val="Arial"/>
        <family val="2"/>
      </rPr>
      <t>F</t>
    </r>
    <r>
      <rPr>
        <sz val="8"/>
        <color indexed="12"/>
        <rFont val="Arial"/>
        <family val="2"/>
      </rPr>
      <t>2</t>
    </r>
  </si>
  <si>
    <r>
      <t xml:space="preserve">      </t>
    </r>
    <r>
      <rPr>
        <sz val="10"/>
        <color indexed="12"/>
        <rFont val="Arial"/>
        <family val="2"/>
      </rPr>
      <t>F</t>
    </r>
    <r>
      <rPr>
        <sz val="8"/>
        <color indexed="12"/>
        <rFont val="Arial"/>
        <family val="2"/>
      </rPr>
      <t>3</t>
    </r>
  </si>
  <si>
    <r>
      <t xml:space="preserve">       </t>
    </r>
    <r>
      <rPr>
        <sz val="10"/>
        <color indexed="12"/>
        <rFont val="Arial"/>
        <family val="2"/>
      </rPr>
      <t>F</t>
    </r>
    <r>
      <rPr>
        <sz val="8"/>
        <color indexed="12"/>
        <rFont val="Arial"/>
        <family val="2"/>
      </rPr>
      <t>4</t>
    </r>
  </si>
  <si>
    <r>
      <t xml:space="preserve">         </t>
    </r>
    <r>
      <rPr>
        <sz val="10"/>
        <color indexed="12"/>
        <rFont val="Arial"/>
        <family val="2"/>
      </rPr>
      <t>F</t>
    </r>
    <r>
      <rPr>
        <sz val="8"/>
        <color indexed="12"/>
        <rFont val="Arial"/>
        <family val="2"/>
      </rPr>
      <t>5</t>
    </r>
  </si>
  <si>
    <r>
      <t xml:space="preserve">          </t>
    </r>
    <r>
      <rPr>
        <sz val="10"/>
        <color indexed="12"/>
        <rFont val="Arial"/>
        <family val="2"/>
      </rPr>
      <t>F</t>
    </r>
    <r>
      <rPr>
        <sz val="8"/>
        <color indexed="12"/>
        <rFont val="Arial"/>
        <family val="2"/>
      </rPr>
      <t>6</t>
    </r>
  </si>
  <si>
    <r>
      <t xml:space="preserve">           </t>
    </r>
    <r>
      <rPr>
        <sz val="10"/>
        <color indexed="12"/>
        <rFont val="Arial"/>
        <family val="2"/>
      </rPr>
      <t>F</t>
    </r>
    <r>
      <rPr>
        <sz val="8"/>
        <color indexed="12"/>
        <rFont val="Arial"/>
        <family val="2"/>
      </rPr>
      <t>7</t>
    </r>
  </si>
  <si>
    <r>
      <t xml:space="preserve">            </t>
    </r>
    <r>
      <rPr>
        <sz val="10"/>
        <color indexed="12"/>
        <rFont val="Arial"/>
        <family val="2"/>
      </rPr>
      <t>F</t>
    </r>
    <r>
      <rPr>
        <sz val="8"/>
        <color indexed="12"/>
        <rFont val="Arial"/>
        <family val="2"/>
      </rPr>
      <t>8</t>
    </r>
  </si>
  <si>
    <r>
      <t xml:space="preserve">              </t>
    </r>
    <r>
      <rPr>
        <sz val="10"/>
        <color indexed="12"/>
        <rFont val="Arial"/>
        <family val="2"/>
      </rPr>
      <t>F</t>
    </r>
    <r>
      <rPr>
        <sz val="8"/>
        <color indexed="12"/>
        <rFont val="Arial"/>
        <family val="2"/>
      </rPr>
      <t>9</t>
    </r>
  </si>
  <si>
    <t>Program Description:</t>
  </si>
  <si>
    <t>Worksheet Name</t>
  </si>
  <si>
    <t>Description</t>
  </si>
  <si>
    <t>Doc</t>
  </si>
  <si>
    <t>This documentation sheet</t>
  </si>
  <si>
    <t>Program Assumptions and Limitations:</t>
  </si>
  <si>
    <t xml:space="preserve">     explanations of input or output items, equations used, data tables, etc.  (Note:  presence of a “comment box”</t>
  </si>
  <si>
    <t xml:space="preserve">     is denoted by a “red triangle” in the upper right-hand corner of a cell.  Merely move the mouse pointer to the </t>
  </si>
  <si>
    <t xml:space="preserve">     desired cell to view the contents of that particular "comment box".)</t>
  </si>
  <si>
    <t>Drift Ratio</t>
  </si>
  <si>
    <r>
      <t>D</t>
    </r>
    <r>
      <rPr>
        <sz val="8"/>
        <rFont val="Arial"/>
        <family val="2"/>
      </rPr>
      <t>x</t>
    </r>
    <r>
      <rPr>
        <sz val="10"/>
        <rFont val="Arial"/>
        <family val="2"/>
      </rPr>
      <t>/</t>
    </r>
    <r>
      <rPr>
        <sz val="8"/>
        <rFont val="Arial"/>
        <family val="2"/>
      </rPr>
      <t>(</t>
    </r>
    <r>
      <rPr>
        <sz val="10"/>
        <rFont val="Arial"/>
        <family val="2"/>
      </rPr>
      <t>h</t>
    </r>
    <r>
      <rPr>
        <sz val="8"/>
        <rFont val="Arial"/>
        <family val="2"/>
      </rPr>
      <t>sx*12)</t>
    </r>
  </si>
  <si>
    <r>
      <t>D</t>
    </r>
    <r>
      <rPr>
        <sz val="8"/>
        <rFont val="Arial"/>
        <family val="2"/>
      </rPr>
      <t>a</t>
    </r>
    <r>
      <rPr>
        <sz val="10"/>
        <rFont val="Arial"/>
        <family val="2"/>
      </rPr>
      <t>/</t>
    </r>
    <r>
      <rPr>
        <sz val="8"/>
        <rFont val="Arial"/>
        <family val="2"/>
      </rPr>
      <t>(</t>
    </r>
    <r>
      <rPr>
        <sz val="10"/>
        <rFont val="Arial"/>
        <family val="2"/>
      </rPr>
      <t>h</t>
    </r>
    <r>
      <rPr>
        <sz val="8"/>
        <rFont val="Arial"/>
        <family val="2"/>
      </rPr>
      <t>sx*12)</t>
    </r>
  </si>
  <si>
    <t xml:space="preserve">  Seismic Resist. System =</t>
  </si>
  <si>
    <r>
      <t xml:space="preserve">Importance Factor, </t>
    </r>
    <r>
      <rPr>
        <sz val="10"/>
        <rFont val="Tahoma"/>
        <family val="2"/>
      </rPr>
      <t>I</t>
    </r>
    <r>
      <rPr>
        <sz val="10"/>
        <rFont val="Arial"/>
        <family val="2"/>
      </rPr>
      <t xml:space="preserve"> =</t>
    </r>
  </si>
  <si>
    <r>
      <t>Period Coefficient, C</t>
    </r>
    <r>
      <rPr>
        <sz val="8"/>
        <rFont val="Arial"/>
        <family val="2"/>
      </rPr>
      <t>T</t>
    </r>
    <r>
      <rPr>
        <sz val="10"/>
        <rFont val="Arial"/>
        <family val="2"/>
      </rPr>
      <t xml:space="preserve"> =</t>
    </r>
  </si>
  <si>
    <r>
      <t>Approx. Period, T</t>
    </r>
    <r>
      <rPr>
        <sz val="8"/>
        <rFont val="Arial"/>
        <family val="2"/>
      </rPr>
      <t>a</t>
    </r>
    <r>
      <rPr>
        <sz val="10"/>
        <rFont val="Arial"/>
        <family val="2"/>
      </rPr>
      <t xml:space="preserve"> =</t>
    </r>
  </si>
  <si>
    <t>Fundamental Period, T =</t>
  </si>
  <si>
    <t>Design Spectral Response</t>
  </si>
  <si>
    <t>Coefficient</t>
  </si>
  <si>
    <t>Cu</t>
  </si>
  <si>
    <t>Use: Cu =</t>
  </si>
  <si>
    <t>Multi-Level Bldg.</t>
  </si>
  <si>
    <t>Seismic base shear and vertical shear distribution for multi-level buildings</t>
  </si>
  <si>
    <t>SEISMIC STORY DRIFT ANALYSIS</t>
  </si>
  <si>
    <t>Story Height</t>
  </si>
  <si>
    <r>
      <t xml:space="preserve">Deflect., </t>
    </r>
    <r>
      <rPr>
        <sz val="10"/>
        <rFont val="Symbol"/>
        <family val="1"/>
        <charset val="2"/>
      </rPr>
      <t>d</t>
    </r>
    <r>
      <rPr>
        <sz val="8"/>
        <rFont val="Arial"/>
        <family val="2"/>
      </rPr>
      <t>x</t>
    </r>
  </si>
  <si>
    <r>
      <t xml:space="preserve">Drift, </t>
    </r>
    <r>
      <rPr>
        <sz val="10"/>
        <rFont val="Symbol"/>
        <family val="1"/>
        <charset val="2"/>
      </rPr>
      <t>D</t>
    </r>
    <r>
      <rPr>
        <sz val="8"/>
        <rFont val="Arial"/>
        <family val="2"/>
      </rPr>
      <t>a</t>
    </r>
  </si>
  <si>
    <t>Structure Story Deflections:</t>
  </si>
  <si>
    <t>Structure Story Drift Analysis:</t>
  </si>
  <si>
    <r>
      <t xml:space="preserve">   </t>
    </r>
    <r>
      <rPr>
        <sz val="10"/>
        <color indexed="12"/>
        <rFont val="Symbol"/>
        <family val="1"/>
        <charset val="2"/>
      </rPr>
      <t>d</t>
    </r>
    <r>
      <rPr>
        <sz val="8"/>
        <color indexed="12"/>
        <rFont val="Arial"/>
        <family val="2"/>
      </rPr>
      <t>e1</t>
    </r>
  </si>
  <si>
    <r>
      <t xml:space="preserve">    </t>
    </r>
    <r>
      <rPr>
        <sz val="10"/>
        <color indexed="12"/>
        <rFont val="Arial"/>
        <family val="2"/>
      </rPr>
      <t>F</t>
    </r>
    <r>
      <rPr>
        <sz val="8"/>
        <color indexed="12"/>
        <rFont val="Arial"/>
        <family val="2"/>
      </rPr>
      <t>1</t>
    </r>
  </si>
  <si>
    <t>Amplified</t>
  </si>
  <si>
    <t>Allowable</t>
  </si>
  <si>
    <r>
      <t>h</t>
    </r>
    <r>
      <rPr>
        <sz val="8"/>
        <rFont val="Arial"/>
        <family val="2"/>
      </rPr>
      <t>sx</t>
    </r>
  </si>
  <si>
    <t>&lt;=0.1</t>
  </si>
  <si>
    <t>A. Bearing Wall Systems</t>
  </si>
  <si>
    <t>A1</t>
  </si>
  <si>
    <t>A2</t>
  </si>
  <si>
    <t>A3</t>
  </si>
  <si>
    <t>A4</t>
  </si>
  <si>
    <t>A5</t>
  </si>
  <si>
    <t>A6</t>
  </si>
  <si>
    <t>A7</t>
  </si>
  <si>
    <t>A8</t>
  </si>
  <si>
    <t>A9</t>
  </si>
  <si>
    <t>A10</t>
  </si>
  <si>
    <t>A11</t>
  </si>
  <si>
    <t>A12</t>
  </si>
  <si>
    <t>A13</t>
  </si>
  <si>
    <t>B. Building Frame Systems</t>
  </si>
  <si>
    <t>A14</t>
  </si>
  <si>
    <t>A15</t>
  </si>
  <si>
    <t>Intermediate precast shear walls</t>
  </si>
  <si>
    <t xml:space="preserve">Ordinary precast shear walls          </t>
  </si>
  <si>
    <t>Prestressed masonry shear walls</t>
  </si>
  <si>
    <t>Maximum Spectral Response Accelerations for Short and 1-Second Periods:</t>
  </si>
  <si>
    <t>Light-framed walls sheathed with wood structural panels rated for shear or steel sheets</t>
  </si>
  <si>
    <t>F. Shear Wall-Frame Interactive System with Ordinary Reinforced Concrete Moment Frames and Ordinary Reinforced Concrete Shearwalls</t>
  </si>
  <si>
    <t>G. Cantilevered Column Systems Detailed to Conform to the Requirements for:</t>
  </si>
  <si>
    <t>4.  The program assumes "regular" buildings and structures, with plan and vertical irregularities not being</t>
  </si>
  <si>
    <t xml:space="preserve">5.  Worksheets for Multi-Level Buildings are applicable for buildings and structures up to 240 feet in height, with </t>
  </si>
  <si>
    <t xml:space="preserve">7.  Worksheets calculate for "gross" seismic shear force, and do not reflect the use of any load factors.  Refer to </t>
  </si>
  <si>
    <t>9.  This program allows the user to select only site classes "A" through "E", since site class "F" requires</t>
  </si>
  <si>
    <t>Seismic-Force Resisting System</t>
  </si>
  <si>
    <t>Light-framed walls with shear panels of all other materials</t>
  </si>
  <si>
    <t>B1</t>
  </si>
  <si>
    <t>B2</t>
  </si>
  <si>
    <t>B3</t>
  </si>
  <si>
    <t>B4</t>
  </si>
  <si>
    <t>B5</t>
  </si>
  <si>
    <t>B6</t>
  </si>
  <si>
    <t>B7</t>
  </si>
  <si>
    <t>B8</t>
  </si>
  <si>
    <t>B9</t>
  </si>
  <si>
    <t>B10</t>
  </si>
  <si>
    <t>B11</t>
  </si>
  <si>
    <t>B12</t>
  </si>
  <si>
    <t>B13</t>
  </si>
  <si>
    <t>B14</t>
  </si>
  <si>
    <t>B15</t>
  </si>
  <si>
    <t>B16</t>
  </si>
  <si>
    <t>B17</t>
  </si>
  <si>
    <t>B18</t>
  </si>
  <si>
    <t>B19</t>
  </si>
  <si>
    <t>B20</t>
  </si>
  <si>
    <t>B21</t>
  </si>
  <si>
    <t>B22</t>
  </si>
  <si>
    <t>B23</t>
  </si>
  <si>
    <t>B24</t>
  </si>
  <si>
    <t>B25</t>
  </si>
  <si>
    <t>B26</t>
  </si>
  <si>
    <t>B27</t>
  </si>
  <si>
    <t>Design Coefficients and Factors for Seismic-Force-Resisting Systems</t>
  </si>
  <si>
    <t>Ordindary precast shear walls</t>
  </si>
  <si>
    <t>C. Moment-Resisting Frame Systems</t>
  </si>
  <si>
    <t>C1</t>
  </si>
  <si>
    <t>C2</t>
  </si>
  <si>
    <t>C3</t>
  </si>
  <si>
    <t>C4</t>
  </si>
  <si>
    <t>C5</t>
  </si>
  <si>
    <t>C6</t>
  </si>
  <si>
    <t>C7</t>
  </si>
  <si>
    <t>C8</t>
  </si>
  <si>
    <t>C9</t>
  </si>
  <si>
    <t>C10</t>
  </si>
  <si>
    <t>C11</t>
  </si>
  <si>
    <t>D1</t>
  </si>
  <si>
    <t>D2</t>
  </si>
  <si>
    <t>D3</t>
  </si>
  <si>
    <t>D4</t>
  </si>
  <si>
    <t>D5</t>
  </si>
  <si>
    <t>D6</t>
  </si>
  <si>
    <t>D7</t>
  </si>
  <si>
    <t>D8</t>
  </si>
  <si>
    <t>D9</t>
  </si>
  <si>
    <t>D10</t>
  </si>
  <si>
    <t>D11</t>
  </si>
  <si>
    <t>D12</t>
  </si>
  <si>
    <t>D13</t>
  </si>
  <si>
    <t>D. Dual Systems with Special Moment Frames Capable of Resisting at Least 25% of Prescribed Seismic Forces</t>
  </si>
  <si>
    <t>Steel eccentrically braced frames</t>
  </si>
  <si>
    <t>Special steel plate shear walls</t>
  </si>
  <si>
    <t>E. Dual Systems with Intermediate Moment Frames Capable of Resisting at Least 25% of Prescribed Seismic Forces</t>
  </si>
  <si>
    <t>E1</t>
  </si>
  <si>
    <t>E2</t>
  </si>
  <si>
    <t>E3</t>
  </si>
  <si>
    <t>E4</t>
  </si>
  <si>
    <t>E5</t>
  </si>
  <si>
    <t>E6</t>
  </si>
  <si>
    <t>E7</t>
  </si>
  <si>
    <t>E8</t>
  </si>
  <si>
    <t>Intermediate reinforced masonry shear walls</t>
  </si>
  <si>
    <t>F1</t>
  </si>
  <si>
    <t>Shear wall-frame with ordinary reinf. conc. MF and ordinary reinf. conc. SW</t>
  </si>
  <si>
    <t>G1</t>
  </si>
  <si>
    <t>G2</t>
  </si>
  <si>
    <t>G3</t>
  </si>
  <si>
    <t>G4</t>
  </si>
  <si>
    <t>G5</t>
  </si>
  <si>
    <t>G6</t>
  </si>
  <si>
    <t>G7</t>
  </si>
  <si>
    <t>H1</t>
  </si>
  <si>
    <t>H. Steel Systems Not Specifically Detailed for Seismic Resistance, Excluding Cantilever Column Systems</t>
  </si>
  <si>
    <t>Steel systems not specifically detailed for seismic resistance</t>
  </si>
  <si>
    <t xml:space="preserve">     resisting system has been selected/input by the user.</t>
  </si>
  <si>
    <t xml:space="preserve">     been exceeded for the particular seismic resisting system selected.</t>
  </si>
  <si>
    <t>Occupancy Category =</t>
  </si>
  <si>
    <t>Table 20.3-1</t>
  </si>
  <si>
    <t>Table 11.4-1</t>
  </si>
  <si>
    <t>Table 11.4-2</t>
  </si>
  <si>
    <t>Figure 22-1</t>
  </si>
  <si>
    <t>Figure 22-2</t>
  </si>
  <si>
    <t>Eqn. 16-37</t>
  </si>
  <si>
    <t>Eqn. 11.4-1</t>
  </si>
  <si>
    <t>Eqn. 11.4-2</t>
  </si>
  <si>
    <t>Eqn. 11.4-4</t>
  </si>
  <si>
    <t>Eqn. 11.4-3</t>
  </si>
  <si>
    <t>Table 11.6-1</t>
  </si>
  <si>
    <t>Table 11.6-2</t>
  </si>
  <si>
    <t>Site Class</t>
  </si>
  <si>
    <t>Section 12.3.2</t>
  </si>
  <si>
    <t>Table 12.6-1</t>
  </si>
  <si>
    <t>Section 12.4</t>
  </si>
  <si>
    <t>Section 12.3.4</t>
  </si>
  <si>
    <t>Section 12.12</t>
  </si>
  <si>
    <t>Section 12.8</t>
  </si>
  <si>
    <t>Section 12.2.1</t>
  </si>
  <si>
    <t>Table 12.2-1</t>
  </si>
  <si>
    <r>
      <t>0.167g&lt;=S</t>
    </r>
    <r>
      <rPr>
        <sz val="8"/>
        <color indexed="12"/>
        <rFont val="Arial"/>
        <family val="2"/>
      </rPr>
      <t>DS</t>
    </r>
    <r>
      <rPr>
        <sz val="10"/>
        <color indexed="12"/>
        <rFont val="Arial"/>
        <family val="2"/>
      </rPr>
      <t>&lt;0.33g</t>
    </r>
  </si>
  <si>
    <r>
      <t>0.067g&lt;=S</t>
    </r>
    <r>
      <rPr>
        <sz val="8"/>
        <color indexed="12"/>
        <rFont val="Arial"/>
        <family val="2"/>
      </rPr>
      <t>D1</t>
    </r>
    <r>
      <rPr>
        <sz val="10"/>
        <color indexed="12"/>
        <rFont val="Arial"/>
        <family val="2"/>
      </rPr>
      <t>&lt;0.133g</t>
    </r>
  </si>
  <si>
    <r>
      <t>0.33g&lt;=S</t>
    </r>
    <r>
      <rPr>
        <sz val="8"/>
        <color indexed="12"/>
        <rFont val="Arial"/>
        <family val="2"/>
      </rPr>
      <t>DS</t>
    </r>
    <r>
      <rPr>
        <sz val="10"/>
        <color indexed="12"/>
        <rFont val="Arial"/>
        <family val="2"/>
      </rPr>
      <t>&lt;0.50g</t>
    </r>
  </si>
  <si>
    <r>
      <t>S</t>
    </r>
    <r>
      <rPr>
        <sz val="8"/>
        <color indexed="12"/>
        <rFont val="Arial"/>
        <family val="2"/>
      </rPr>
      <t>DS</t>
    </r>
    <r>
      <rPr>
        <sz val="10"/>
        <color indexed="12"/>
        <rFont val="Arial"/>
        <family val="2"/>
      </rPr>
      <t>&gt;=0.50g</t>
    </r>
  </si>
  <si>
    <r>
      <t>0.133g&lt;=S</t>
    </r>
    <r>
      <rPr>
        <sz val="8"/>
        <color indexed="12"/>
        <rFont val="Arial"/>
        <family val="2"/>
      </rPr>
      <t>D1</t>
    </r>
    <r>
      <rPr>
        <sz val="10"/>
        <color indexed="12"/>
        <rFont val="Arial"/>
        <family val="2"/>
      </rPr>
      <t>&lt;0.20g</t>
    </r>
  </si>
  <si>
    <r>
      <t>S</t>
    </r>
    <r>
      <rPr>
        <sz val="8"/>
        <color indexed="12"/>
        <rFont val="Arial"/>
        <family val="2"/>
      </rPr>
      <t>D1</t>
    </r>
    <r>
      <rPr>
        <sz val="10"/>
        <color indexed="12"/>
        <rFont val="Arial"/>
        <family val="2"/>
      </rPr>
      <t>&gt;=0.20g</t>
    </r>
  </si>
  <si>
    <r>
      <t>sec.</t>
    </r>
    <r>
      <rPr>
        <sz val="10"/>
        <color indexed="8"/>
        <rFont val="Arial"/>
        <family val="2"/>
      </rPr>
      <t xml:space="preserve">  from independent analysis</t>
    </r>
  </si>
  <si>
    <t>Actual Calc. Period, Tc =</t>
  </si>
  <si>
    <t xml:space="preserve">     site-specific geotechnical investigation and dynamic site response analyses.  These same requirements also</t>
  </si>
  <si>
    <t>(continued:)</t>
  </si>
  <si>
    <t>Using Equivalent Lateral Force Procedure for Regular Multi-Level Building/Structural Systems</t>
  </si>
  <si>
    <t xml:space="preserve">buildings and various nonbuilding structures, as well as architectural, mechanical, and electrical components </t>
  </si>
  <si>
    <t xml:space="preserve">   </t>
  </si>
  <si>
    <t>Cross Reference Index between IBC 2009 and ASCE 7-05 Codes</t>
  </si>
  <si>
    <t>Chapter 13</t>
  </si>
  <si>
    <t>Chapter 15</t>
  </si>
  <si>
    <t>Risk Category</t>
  </si>
  <si>
    <t>IBC 2012</t>
  </si>
  <si>
    <t>ASCE 7-10</t>
  </si>
  <si>
    <t>Table 1.5-2</t>
  </si>
  <si>
    <t>Table 1613.3.3(1)</t>
  </si>
  <si>
    <t>Table 1613.3.3(2)</t>
  </si>
  <si>
    <r>
      <t>Seismic Design Category Using S</t>
    </r>
    <r>
      <rPr>
        <sz val="8"/>
        <rFont val="Arial"/>
        <family val="2"/>
      </rPr>
      <t>DS</t>
    </r>
    <r>
      <rPr>
        <sz val="9"/>
        <rFont val="Arial"/>
        <family val="2"/>
      </rPr>
      <t xml:space="preserve"> and Risk Cat.</t>
    </r>
  </si>
  <si>
    <r>
      <t>Seismic Design Category Using S</t>
    </r>
    <r>
      <rPr>
        <sz val="8"/>
        <rFont val="Arial"/>
        <family val="2"/>
      </rPr>
      <t>D1</t>
    </r>
    <r>
      <rPr>
        <sz val="9"/>
        <rFont val="Arial"/>
        <family val="2"/>
      </rPr>
      <t xml:space="preserve"> and Risk Cat.</t>
    </r>
  </si>
  <si>
    <t xml:space="preserve">2012 or ASCE 7 Codes.  For all practical purposes, beyond determining the Seismic Design Category, the </t>
  </si>
  <si>
    <t>IBC 2012 Code defers to the ASCE 7 Code for seismic analysis and design.</t>
  </si>
  <si>
    <t>Defers to ASCE 7-10</t>
  </si>
  <si>
    <t xml:space="preserve">per the IBC 2012 and ASCE 7-10 Codes.  Specifically, the total base seismic shear for buildings and nonbuilding </t>
  </si>
  <si>
    <t xml:space="preserve">1.  This program uses the IBC 2012 Code only to determine the Seismic Design Category, while IBC 2012 Code </t>
  </si>
  <si>
    <t xml:space="preserve">     Section 1613.1 permits the Seismic Design Category to be determined by either IBC 2012 or ASCE 7-10.</t>
  </si>
  <si>
    <t xml:space="preserve">    For all practical purposes, beyond determining the Seismic Design Category, the IBC 2012 Code  </t>
  </si>
  <si>
    <t xml:space="preserve">    defers to the ASCE 7-10 Code for seismic analysis and design.</t>
  </si>
  <si>
    <t>3.  For buildings, the program assumes the use of the equivalent lateral-force method for analysis, per ASCE 7-10</t>
  </si>
  <si>
    <t xml:space="preserve">     Section 12.8. This progam does not calculate any non-building structures. </t>
  </si>
  <si>
    <t xml:space="preserve">     considered.  Refer to ASCE 7-10 Section 12.3 for building configuration, and plan and vertical irregularity criteria.</t>
  </si>
  <si>
    <r>
      <t xml:space="preserve">     up to 15 levels.  </t>
    </r>
    <r>
      <rPr>
        <sz val="9"/>
        <color indexed="10"/>
        <rFont val="Arial"/>
        <family val="2"/>
      </rPr>
      <t>(Story deflections are to be determined from separate elastic 2D or 3D frame analysis if needed.)</t>
    </r>
  </si>
  <si>
    <t xml:space="preserve">     ASCE 7-10 Section 12.4 for applicable loads factors for LRFD or strength design as well as ASD analysis.</t>
  </si>
  <si>
    <t>Risk Category =</t>
  </si>
  <si>
    <t>IBC 2012, Table 1604.5, page 336</t>
  </si>
  <si>
    <t>ASCE 7-10 Table 1.5-2, page 5</t>
  </si>
  <si>
    <t>ASCE 7-10 Table 20.3-1, page 204</t>
  </si>
  <si>
    <t>Table 1613.3.1(1)</t>
  </si>
  <si>
    <t>Table 1613.3.1(2)</t>
  </si>
  <si>
    <t>ASCE 7-10 Figures 22-1 to 22-11</t>
  </si>
  <si>
    <r>
      <t>sec.</t>
    </r>
    <r>
      <rPr>
        <sz val="10"/>
        <rFont val="Arial"/>
        <family val="2"/>
      </rPr>
      <t xml:space="preserve"> ASCE 7 Fig's. 22-12 to 22-18</t>
    </r>
  </si>
  <si>
    <t>ASCE 7-10 - TABLE 12.2-1</t>
  </si>
  <si>
    <t>A16</t>
  </si>
  <si>
    <t>A17</t>
  </si>
  <si>
    <t>A18</t>
  </si>
  <si>
    <t>Ordinary reinforced AAC masonry shear walls</t>
  </si>
  <si>
    <t>Ordinary plain AAC masonry shear walls</t>
  </si>
  <si>
    <t>Light-framed (cold-formed steel)/wood structural panels for shear resistance or st. sheathing</t>
  </si>
  <si>
    <t>Light-frame (cold-formed steel) wall system using flat strap bracing</t>
  </si>
  <si>
    <t>Steel special concentrically braced frames</t>
  </si>
  <si>
    <t>Steel ordinary concentrically braced frames</t>
  </si>
  <si>
    <t>Steel and concrete composite eccentrically braced frames</t>
  </si>
  <si>
    <t>Steel and concrete composite ordinary braced frames</t>
  </si>
  <si>
    <t>Steel and concrete composite special concentrically braced frames</t>
  </si>
  <si>
    <t>Steel and concrete composite plate shear walls</t>
  </si>
  <si>
    <t>Steel and concrete composite special shear walls</t>
  </si>
  <si>
    <t>Steel and concrete composite ordinary shear walls</t>
  </si>
  <si>
    <t>Light-frame (wood) walls sheathed with wood  struct. panels rated for shear resistance</t>
  </si>
  <si>
    <t>Light-frame (cold-formed steel) walls sheathed w/ wood  struct. panels or steel sheets</t>
  </si>
  <si>
    <t>Steel buckling-restrained braced frames</t>
  </si>
  <si>
    <t>Steel specail moment frames</t>
  </si>
  <si>
    <t>Steel special truss moment frames</t>
  </si>
  <si>
    <t>Steel intermediate moment frames</t>
  </si>
  <si>
    <t>Steel ordinary moment frames</t>
  </si>
  <si>
    <t>Intermediate reinforced concrete moment frames</t>
  </si>
  <si>
    <t>Ordinary reinforced concrete moment frames</t>
  </si>
  <si>
    <t>Steel and concrete composite special moment frames</t>
  </si>
  <si>
    <t>Steel and concrete composite intermediate moment frames</t>
  </si>
  <si>
    <t>Steel and concrete composite partially restrained moment frames</t>
  </si>
  <si>
    <t>Steel and concrete composite ordinary moment frames</t>
  </si>
  <si>
    <t>C12</t>
  </si>
  <si>
    <t>Cold-formed steel-special bolted moment frame</t>
  </si>
  <si>
    <t>Steel and concrete composiste special concentrically braced frames</t>
  </si>
  <si>
    <t>Steel and concrete plate shear walls</t>
  </si>
  <si>
    <t>Steel and concrete special shear walls</t>
  </si>
  <si>
    <t>Steel special plate shear walls</t>
  </si>
  <si>
    <t>Steel and concrete composite specail concentrically braced frames</t>
  </si>
  <si>
    <t>Steel special cantilever column systems</t>
  </si>
  <si>
    <t>Steel ordinary cantilever column systems</t>
  </si>
  <si>
    <t>Timber frames</t>
  </si>
  <si>
    <t>Per IBC 2012 and ASCE 7-10 Specifications</t>
  </si>
  <si>
    <r>
      <t>kips</t>
    </r>
    <r>
      <rPr>
        <sz val="10"/>
        <color indexed="8"/>
        <rFont val="Arial"/>
        <family val="2"/>
      </rPr>
      <t xml:space="preserve">  (ASCE 7-10 Section 12.7.2)</t>
    </r>
  </si>
  <si>
    <r>
      <t>ASCE 7-10 Table 11.4-1,</t>
    </r>
    <r>
      <rPr>
        <sz val="10"/>
        <rFont val="Arial"/>
        <family val="2"/>
      </rPr>
      <t xml:space="preserve"> page 66</t>
    </r>
  </si>
  <si>
    <r>
      <t>ASCE Table 11.4-2</t>
    </r>
    <r>
      <rPr>
        <sz val="9"/>
        <rFont val="Arial"/>
        <family val="2"/>
      </rPr>
      <t>, page 66</t>
    </r>
  </si>
  <si>
    <r>
      <t>ASCE 7-10 TABLE 11.4-1 - Values of Site Coeficient, 'F</t>
    </r>
    <r>
      <rPr>
        <sz val="8"/>
        <color indexed="12"/>
        <rFont val="Arial"/>
        <family val="2"/>
      </rPr>
      <t>a</t>
    </r>
    <r>
      <rPr>
        <sz val="9"/>
        <color indexed="12"/>
        <rFont val="Arial"/>
        <family val="2"/>
      </rPr>
      <t>'</t>
    </r>
    <r>
      <rPr>
        <sz val="10"/>
        <color indexed="12"/>
        <rFont val="Arial"/>
        <family val="2"/>
      </rPr>
      <t>, as a Function of Site Class</t>
    </r>
  </si>
  <si>
    <r>
      <t>ASCE 7-10 TABLE 11.4-2 - Values of Site Coeficient, 'F</t>
    </r>
    <r>
      <rPr>
        <sz val="8"/>
        <color indexed="12"/>
        <rFont val="Arial"/>
        <family val="2"/>
      </rPr>
      <t>v</t>
    </r>
    <r>
      <rPr>
        <sz val="9"/>
        <color indexed="12"/>
        <rFont val="Arial"/>
        <family val="2"/>
      </rPr>
      <t>'</t>
    </r>
    <r>
      <rPr>
        <sz val="10"/>
        <color indexed="12"/>
        <rFont val="Arial"/>
        <family val="2"/>
      </rPr>
      <t>, as a Function of Site Class</t>
    </r>
  </si>
  <si>
    <r>
      <t>S</t>
    </r>
    <r>
      <rPr>
        <sz val="8"/>
        <rFont val="Arial"/>
        <family val="2"/>
      </rPr>
      <t>MS</t>
    </r>
    <r>
      <rPr>
        <sz val="10"/>
        <rFont val="Arial"/>
        <family val="2"/>
      </rPr>
      <t xml:space="preserve"> = F</t>
    </r>
    <r>
      <rPr>
        <sz val="8"/>
        <rFont val="Arial"/>
        <family val="2"/>
      </rPr>
      <t>a</t>
    </r>
    <r>
      <rPr>
        <sz val="10"/>
        <rFont val="Arial"/>
        <family val="2"/>
      </rPr>
      <t>*</t>
    </r>
    <r>
      <rPr>
        <sz val="10"/>
        <rFont val="Arial"/>
        <family val="2"/>
      </rPr>
      <t>S</t>
    </r>
    <r>
      <rPr>
        <sz val="8"/>
        <rFont val="Arial"/>
        <family val="2"/>
      </rPr>
      <t>S</t>
    </r>
    <r>
      <rPr>
        <sz val="10"/>
        <rFont val="Arial"/>
        <family val="2"/>
      </rPr>
      <t>,  ASCE Eqn. 11.4-1, page 65</t>
    </r>
  </si>
  <si>
    <r>
      <t>S</t>
    </r>
    <r>
      <rPr>
        <sz val="8"/>
        <rFont val="Arial"/>
        <family val="2"/>
      </rPr>
      <t>M1</t>
    </r>
    <r>
      <rPr>
        <sz val="10"/>
        <rFont val="Arial"/>
        <family val="2"/>
      </rPr>
      <t xml:space="preserve"> = F</t>
    </r>
    <r>
      <rPr>
        <sz val="8"/>
        <rFont val="Arial"/>
        <family val="2"/>
      </rPr>
      <t>v</t>
    </r>
    <r>
      <rPr>
        <sz val="10"/>
        <rFont val="Arial"/>
        <family val="2"/>
      </rPr>
      <t>*</t>
    </r>
    <r>
      <rPr>
        <sz val="10"/>
        <rFont val="Arial"/>
        <family val="2"/>
      </rPr>
      <t>S</t>
    </r>
    <r>
      <rPr>
        <sz val="8"/>
        <rFont val="Arial"/>
        <family val="2"/>
      </rPr>
      <t>1</t>
    </r>
    <r>
      <rPr>
        <sz val="10"/>
        <rFont val="Arial"/>
        <family val="2"/>
      </rPr>
      <t>,  ASCE Eqn. 11.4-2, page 65</t>
    </r>
  </si>
  <si>
    <r>
      <t>S</t>
    </r>
    <r>
      <rPr>
        <sz val="8"/>
        <rFont val="Arial"/>
        <family val="2"/>
      </rPr>
      <t>DS</t>
    </r>
    <r>
      <rPr>
        <sz val="10"/>
        <rFont val="Arial"/>
        <family val="2"/>
      </rPr>
      <t xml:space="preserve"> = 2*S</t>
    </r>
    <r>
      <rPr>
        <sz val="8"/>
        <rFont val="Arial"/>
        <family val="2"/>
      </rPr>
      <t>MS</t>
    </r>
    <r>
      <rPr>
        <sz val="10"/>
        <rFont val="Arial"/>
        <family val="2"/>
      </rPr>
      <t>/3,  ASCE 7-10 Eqn. 11.4-3</t>
    </r>
    <r>
      <rPr>
        <sz val="10"/>
        <rFont val="Arial"/>
        <family val="2"/>
      </rPr>
      <t>, page 65</t>
    </r>
  </si>
  <si>
    <r>
      <t>S</t>
    </r>
    <r>
      <rPr>
        <sz val="8"/>
        <rFont val="Arial"/>
        <family val="2"/>
      </rPr>
      <t>D1</t>
    </r>
    <r>
      <rPr>
        <sz val="10"/>
        <rFont val="Arial"/>
        <family val="2"/>
      </rPr>
      <t xml:space="preserve"> = 2*S</t>
    </r>
    <r>
      <rPr>
        <sz val="8"/>
        <rFont val="Arial"/>
        <family val="2"/>
      </rPr>
      <t>M1</t>
    </r>
    <r>
      <rPr>
        <sz val="10"/>
        <rFont val="Arial"/>
        <family val="2"/>
      </rPr>
      <t>/3,  ASCE Eqn. 11.4-4,</t>
    </r>
    <r>
      <rPr>
        <sz val="10"/>
        <rFont val="Arial"/>
        <family val="2"/>
      </rPr>
      <t xml:space="preserve"> page 65</t>
    </r>
  </si>
  <si>
    <t>ASCE 7-10 TABLE 11.6-1 - Seismic Design Category</t>
  </si>
  <si>
    <t>ASCE 7-10 TABLE 11.6-2 - Seismic Design Category</t>
  </si>
  <si>
    <r>
      <t>ASCE 7-10 Table 11.6-1</t>
    </r>
    <r>
      <rPr>
        <sz val="10"/>
        <rFont val="Arial"/>
        <family val="2"/>
      </rPr>
      <t>, page 67</t>
    </r>
  </si>
  <si>
    <r>
      <t>ASCE 7-10 Table 11.6-2</t>
    </r>
    <r>
      <rPr>
        <sz val="10"/>
        <rFont val="Arial"/>
        <family val="2"/>
      </rPr>
      <t>, page 67</t>
    </r>
  </si>
  <si>
    <t>ASCE 7-10 TABLE 12.8-1</t>
  </si>
  <si>
    <t>ASCE 7-10 Table 12.8-2, page 90</t>
  </si>
  <si>
    <r>
      <t>sec.</t>
    </r>
    <r>
      <rPr>
        <sz val="10"/>
        <color indexed="8"/>
        <rFont val="Arial"/>
        <family val="2"/>
      </rPr>
      <t>,  T</t>
    </r>
    <r>
      <rPr>
        <sz val="8"/>
        <color indexed="8"/>
        <rFont val="Arial"/>
        <family val="2"/>
      </rPr>
      <t>a</t>
    </r>
    <r>
      <rPr>
        <sz val="10"/>
        <color indexed="8"/>
        <rFont val="Arial"/>
        <family val="2"/>
      </rPr>
      <t xml:space="preserve"> = C</t>
    </r>
    <r>
      <rPr>
        <sz val="8"/>
        <color indexed="8"/>
        <rFont val="Arial"/>
        <family val="2"/>
      </rPr>
      <t>T</t>
    </r>
    <r>
      <rPr>
        <sz val="10"/>
        <color indexed="8"/>
        <rFont val="Arial"/>
        <family val="2"/>
      </rPr>
      <t>*h</t>
    </r>
    <r>
      <rPr>
        <sz val="8"/>
        <color indexed="8"/>
        <rFont val="Arial"/>
        <family val="2"/>
      </rPr>
      <t>n</t>
    </r>
    <r>
      <rPr>
        <sz val="10"/>
        <color indexed="8"/>
        <rFont val="Arial"/>
        <family val="2"/>
      </rPr>
      <t>^(x),  ASCE 7-10 Section 12.8.2.1, Eqn. 12.8-7</t>
    </r>
  </si>
  <si>
    <t>ASCE 7-10 Table 12.8-1, page 90</t>
  </si>
  <si>
    <r>
      <t>sec.</t>
    </r>
    <r>
      <rPr>
        <sz val="10"/>
        <color indexed="8"/>
        <rFont val="Arial"/>
        <family val="2"/>
      </rPr>
      <t>,  T</t>
    </r>
    <r>
      <rPr>
        <sz val="8"/>
        <color indexed="8"/>
        <rFont val="Arial"/>
        <family val="2"/>
      </rPr>
      <t>(max)</t>
    </r>
    <r>
      <rPr>
        <sz val="10"/>
        <color indexed="8"/>
        <rFont val="Arial"/>
        <family val="2"/>
      </rPr>
      <t xml:space="preserve"> = C</t>
    </r>
    <r>
      <rPr>
        <sz val="8"/>
        <color indexed="8"/>
        <rFont val="Arial"/>
        <family val="2"/>
      </rPr>
      <t>u</t>
    </r>
    <r>
      <rPr>
        <sz val="10"/>
        <color indexed="8"/>
        <rFont val="Arial"/>
        <family val="2"/>
      </rPr>
      <t>*T</t>
    </r>
    <r>
      <rPr>
        <sz val="8"/>
        <color indexed="8"/>
        <rFont val="Arial"/>
        <family val="2"/>
      </rPr>
      <t>a,</t>
    </r>
    <r>
      <rPr>
        <sz val="10"/>
        <color indexed="8"/>
        <rFont val="Arial"/>
        <family val="2"/>
      </rPr>
      <t xml:space="preserve">  </t>
    </r>
    <r>
      <rPr>
        <sz val="10"/>
        <color indexed="8"/>
        <rFont val="Arial"/>
        <family val="2"/>
      </rPr>
      <t>ASCE 7-10 Section 12.8.2, page 90</t>
    </r>
  </si>
  <si>
    <t>ASCE 7-10 Table 12.2-1, pages 73-75</t>
  </si>
  <si>
    <r>
      <t>C</t>
    </r>
    <r>
      <rPr>
        <sz val="8"/>
        <color indexed="8"/>
        <rFont val="Arial"/>
        <family val="2"/>
      </rPr>
      <t>S</t>
    </r>
    <r>
      <rPr>
        <sz val="10"/>
        <color indexed="8"/>
        <rFont val="Arial"/>
        <family val="2"/>
      </rPr>
      <t xml:space="preserve"> = S</t>
    </r>
    <r>
      <rPr>
        <sz val="8"/>
        <color indexed="8"/>
        <rFont val="Arial"/>
        <family val="2"/>
      </rPr>
      <t>DS</t>
    </r>
    <r>
      <rPr>
        <sz val="10"/>
        <color indexed="8"/>
        <rFont val="Arial"/>
        <family val="2"/>
      </rPr>
      <t>/(R/</t>
    </r>
    <r>
      <rPr>
        <sz val="10"/>
        <color indexed="8"/>
        <rFont val="Tahoma"/>
        <family val="2"/>
      </rPr>
      <t>I</t>
    </r>
    <r>
      <rPr>
        <sz val="10"/>
        <color indexed="8"/>
        <rFont val="Arial"/>
        <family val="2"/>
      </rPr>
      <t>), ASCE</t>
    </r>
    <r>
      <rPr>
        <sz val="10"/>
        <color indexed="8"/>
        <rFont val="Arial"/>
        <family val="2"/>
      </rPr>
      <t xml:space="preserve"> 7-10 Section 12.8.1.1, Eqn. 12.8-2</t>
    </r>
  </si>
  <si>
    <r>
      <t>kips</t>
    </r>
    <r>
      <rPr>
        <sz val="10"/>
        <color indexed="8"/>
        <rFont val="Arial"/>
        <family val="2"/>
      </rPr>
      <t>, V = C</t>
    </r>
    <r>
      <rPr>
        <sz val="8"/>
        <color indexed="8"/>
        <rFont val="Arial"/>
        <family val="2"/>
      </rPr>
      <t>S</t>
    </r>
    <r>
      <rPr>
        <sz val="10"/>
        <color indexed="8"/>
        <rFont val="Arial"/>
        <family val="2"/>
      </rPr>
      <t>*W, ASCE 7-10 Section 12.8.1, Eqn. 12.8-1</t>
    </r>
  </si>
  <si>
    <r>
      <t>F</t>
    </r>
    <r>
      <rPr>
        <sz val="8"/>
        <rFont val="Arial"/>
        <family val="2"/>
      </rPr>
      <t>x</t>
    </r>
    <r>
      <rPr>
        <sz val="10"/>
        <rFont val="Arial"/>
        <family val="2"/>
      </rPr>
      <t xml:space="preserve"> = C</t>
    </r>
    <r>
      <rPr>
        <sz val="8"/>
        <rFont val="Arial"/>
        <family val="2"/>
      </rPr>
      <t>vx</t>
    </r>
    <r>
      <rPr>
        <sz val="10"/>
        <rFont val="Arial"/>
        <family val="2"/>
      </rPr>
      <t>*V,  ASCE 7-10 Section 12.8.3, Eqn. 12.8-11, page 91</t>
    </r>
  </si>
  <si>
    <r>
      <t>C</t>
    </r>
    <r>
      <rPr>
        <sz val="8"/>
        <rFont val="Arial"/>
        <family val="2"/>
      </rPr>
      <t>vx</t>
    </r>
    <r>
      <rPr>
        <sz val="10"/>
        <rFont val="Arial"/>
        <family val="2"/>
      </rPr>
      <t xml:space="preserve"> = W</t>
    </r>
    <r>
      <rPr>
        <sz val="8"/>
        <rFont val="Arial"/>
        <family val="2"/>
      </rPr>
      <t>x</t>
    </r>
    <r>
      <rPr>
        <sz val="10"/>
        <rFont val="Arial"/>
        <family val="2"/>
      </rPr>
      <t>*h</t>
    </r>
    <r>
      <rPr>
        <sz val="8"/>
        <rFont val="Arial"/>
        <family val="2"/>
      </rPr>
      <t>x^k</t>
    </r>
    <r>
      <rPr>
        <sz val="10"/>
        <rFont val="Arial"/>
        <family val="2"/>
      </rPr>
      <t>/(</t>
    </r>
    <r>
      <rPr>
        <sz val="10"/>
        <rFont val="Symbol"/>
        <family val="1"/>
        <charset val="2"/>
      </rPr>
      <t>S</t>
    </r>
    <r>
      <rPr>
        <sz val="10"/>
        <rFont val="Arial"/>
        <family val="2"/>
      </rPr>
      <t>W</t>
    </r>
    <r>
      <rPr>
        <sz val="8"/>
        <rFont val="Arial"/>
        <family val="2"/>
      </rPr>
      <t>i</t>
    </r>
    <r>
      <rPr>
        <sz val="10"/>
        <rFont val="Arial"/>
        <family val="2"/>
      </rPr>
      <t>*h</t>
    </r>
    <r>
      <rPr>
        <sz val="8"/>
        <rFont val="Arial"/>
        <family val="2"/>
      </rPr>
      <t>i^k</t>
    </r>
    <r>
      <rPr>
        <sz val="10"/>
        <rFont val="Arial"/>
        <family val="2"/>
      </rPr>
      <t>),  ASCE 7-10 Eqn. 12.8-12, page 91</t>
    </r>
  </si>
  <si>
    <t>See IBC 2012</t>
  </si>
  <si>
    <t>ASCE 7-10 Table 12.2-1, pages 120-122</t>
  </si>
  <si>
    <r>
      <rPr>
        <sz val="10"/>
        <rFont val="Symbol"/>
        <family val="1"/>
        <charset val="2"/>
      </rPr>
      <t>D</t>
    </r>
    <r>
      <rPr>
        <sz val="8"/>
        <rFont val="Arial"/>
        <family val="2"/>
      </rPr>
      <t>x</t>
    </r>
    <r>
      <rPr>
        <sz val="10"/>
        <rFont val="Arial"/>
        <family val="2"/>
      </rPr>
      <t xml:space="preserve"> = </t>
    </r>
    <r>
      <rPr>
        <sz val="10"/>
        <rFont val="Symbol"/>
        <family val="1"/>
        <charset val="2"/>
      </rPr>
      <t>d</t>
    </r>
    <r>
      <rPr>
        <sz val="8"/>
        <rFont val="Arial"/>
        <family val="2"/>
      </rPr>
      <t>x</t>
    </r>
    <r>
      <rPr>
        <sz val="10"/>
        <rFont val="Tahoma"/>
        <family val="2"/>
      </rPr>
      <t xml:space="preserve"> - </t>
    </r>
    <r>
      <rPr>
        <sz val="10"/>
        <rFont val="Symbol"/>
        <family val="1"/>
        <charset val="2"/>
      </rPr>
      <t>d</t>
    </r>
    <r>
      <rPr>
        <sz val="8"/>
        <rFont val="Tahoma"/>
        <family val="2"/>
      </rPr>
      <t>(x-1)</t>
    </r>
    <r>
      <rPr>
        <sz val="10"/>
        <rFont val="Arial"/>
        <family val="2"/>
      </rPr>
      <t>,  ASCE 7-10 Firgure 12.8-2, page 93</t>
    </r>
  </si>
  <si>
    <r>
      <rPr>
        <sz val="10"/>
        <rFont val="Symbol"/>
        <family val="1"/>
        <charset val="2"/>
      </rPr>
      <t>d</t>
    </r>
    <r>
      <rPr>
        <sz val="8"/>
        <rFont val="Arial"/>
        <family val="2"/>
      </rPr>
      <t>x</t>
    </r>
    <r>
      <rPr>
        <sz val="10"/>
        <rFont val="Arial"/>
        <family val="2"/>
      </rPr>
      <t xml:space="preserve"> = </t>
    </r>
    <r>
      <rPr>
        <sz val="10"/>
        <rFont val="Symbol"/>
        <family val="1"/>
        <charset val="2"/>
      </rPr>
      <t>d</t>
    </r>
    <r>
      <rPr>
        <sz val="8"/>
        <rFont val="Arial"/>
        <family val="2"/>
      </rPr>
      <t>xe</t>
    </r>
    <r>
      <rPr>
        <sz val="10"/>
        <rFont val="Arial"/>
        <family val="2"/>
      </rPr>
      <t>*C</t>
    </r>
    <r>
      <rPr>
        <sz val="8"/>
        <rFont val="Arial"/>
        <family val="2"/>
      </rPr>
      <t>d</t>
    </r>
    <r>
      <rPr>
        <sz val="10"/>
        <rFont val="Arial"/>
        <family val="2"/>
      </rPr>
      <t>/</t>
    </r>
    <r>
      <rPr>
        <sz val="10"/>
        <rFont val="Tahoma"/>
        <family val="2"/>
      </rPr>
      <t>I</t>
    </r>
    <r>
      <rPr>
        <sz val="10"/>
        <rFont val="Arial"/>
        <family val="2"/>
      </rPr>
      <t>,  ASCE 7-10 Eqn. 12.8-15, page 92</t>
    </r>
  </si>
  <si>
    <r>
      <t>D</t>
    </r>
    <r>
      <rPr>
        <sz val="8"/>
        <rFont val="Arial"/>
        <family val="2"/>
      </rPr>
      <t>a</t>
    </r>
    <r>
      <rPr>
        <sz val="10"/>
        <rFont val="Arial"/>
        <family val="2"/>
      </rPr>
      <t xml:space="preserve"> = (Drift Ratio)*(h</t>
    </r>
    <r>
      <rPr>
        <sz val="8"/>
        <rFont val="Arial"/>
        <family val="2"/>
      </rPr>
      <t>sx</t>
    </r>
    <r>
      <rPr>
        <sz val="10"/>
        <rFont val="Arial"/>
        <family val="2"/>
      </rPr>
      <t>*12),  from: ASCE 7-10 Table 12.12-1, page 97</t>
    </r>
  </si>
  <si>
    <t>ASCE 7-10 Table 12.12-1</t>
  </si>
  <si>
    <r>
      <t>Note:</t>
    </r>
    <r>
      <rPr>
        <sz val="9"/>
        <rFont val="Arial"/>
        <family val="2"/>
      </rPr>
      <t xml:space="preserve"> Per IBC 2012 Section 1613.1, the Seismic Design Category is permitted to be determined by either the IBC </t>
    </r>
  </si>
  <si>
    <t>design check is the responsibility of the design engineer. Neither the original composer of this spreadsheet NOR</t>
  </si>
  <si>
    <t>the modifier take any responsibility (either expressed or implied) for the correct output of this program. Once again,</t>
  </si>
  <si>
    <t>the project engineer is to take that responsibility.</t>
  </si>
  <si>
    <r>
      <rPr>
        <b/>
        <u/>
        <sz val="9"/>
        <rFont val="Arial"/>
        <family val="2"/>
      </rPr>
      <t>Note:</t>
    </r>
    <r>
      <rPr>
        <sz val="9"/>
        <rFont val="Arial"/>
        <family val="2"/>
      </rPr>
      <t xml:space="preserve"> While this program is intended to accuratly describe the loads/drift limits imposed upon a structure, the final</t>
    </r>
  </si>
  <si>
    <t>DESIGN COEFFICIENTS AND FACTORS FOR SEISMIC FORCE-RESISTING SYSTEMS</t>
  </si>
  <si>
    <t>RESPONSE</t>
  </si>
  <si>
    <t>SYSTEM</t>
  </si>
  <si>
    <t>STRUCTURAL SYSTEM LIMITATIONS</t>
  </si>
  <si>
    <t>Hyperlink to Access USGS Web Site:</t>
  </si>
  <si>
    <t>MODIFICATION</t>
  </si>
  <si>
    <t>OVER-</t>
  </si>
  <si>
    <t>DEFLECTION</t>
  </si>
  <si>
    <t>AND BUILDING HEIGHT LIMIT ( c)</t>
  </si>
  <si>
    <t>SEISMIC FORCE-RESISTING SYSTEM</t>
  </si>
  <si>
    <t>COEFFICIENT</t>
  </si>
  <si>
    <t>STRENGTH</t>
  </si>
  <si>
    <t>AMPLIFICATION</t>
  </si>
  <si>
    <t>R (a)</t>
  </si>
  <si>
    <r>
      <t xml:space="preserve">FACTOR, </t>
    </r>
    <r>
      <rPr>
        <b/>
        <sz val="8"/>
        <rFont val="Symbol"/>
        <family val="1"/>
        <charset val="2"/>
      </rPr>
      <t>W</t>
    </r>
    <r>
      <rPr>
        <b/>
        <sz val="8"/>
        <rFont val="Arial"/>
        <family val="2"/>
      </rPr>
      <t>o (g)</t>
    </r>
  </si>
  <si>
    <t>FACTOR, Cd (b)</t>
  </si>
  <si>
    <r>
      <t xml:space="preserve">D </t>
    </r>
    <r>
      <rPr>
        <b/>
        <i/>
        <sz val="8"/>
        <rFont val="Arial"/>
        <family val="2"/>
      </rPr>
      <t>(d)</t>
    </r>
  </si>
  <si>
    <r>
      <t xml:space="preserve">E </t>
    </r>
    <r>
      <rPr>
        <b/>
        <i/>
        <sz val="8"/>
        <rFont val="Arial"/>
        <family val="2"/>
      </rPr>
      <t>(d)</t>
    </r>
  </si>
  <si>
    <r>
      <t xml:space="preserve">F </t>
    </r>
    <r>
      <rPr>
        <b/>
        <i/>
        <sz val="8"/>
        <rFont val="Arial"/>
        <family val="2"/>
      </rPr>
      <t>(e)</t>
    </r>
  </si>
  <si>
    <t>Hyperlink to Access USGS Calculator Tool Download:</t>
  </si>
  <si>
    <t>http://earthquake.usgs.gov/designmaps/us/application.php</t>
  </si>
  <si>
    <t>2. Ordinary reinforced concrete shear walls</t>
  </si>
  <si>
    <t xml:space="preserve">3. Detailed plain concrete shear walls          </t>
  </si>
  <si>
    <t xml:space="preserve">4. Ordinary plain concrete shear walls          </t>
  </si>
  <si>
    <t>5. Intermediate precast shear walls</t>
  </si>
  <si>
    <t xml:space="preserve">6. Ordinary precast shear walls          </t>
  </si>
  <si>
    <t>7. Special reinforced masonry shear walls</t>
  </si>
  <si>
    <t>8. Intermediate reinf. masonry shear walls</t>
  </si>
  <si>
    <t>9. Ordinary reinforced masonry shear walls</t>
  </si>
  <si>
    <t xml:space="preserve">10. Detailed plain masonry shear walls          </t>
  </si>
  <si>
    <t xml:space="preserve">11. Ordinary plain masonry shear walls          </t>
  </si>
  <si>
    <t>12. Prestressed masonry shear walls</t>
  </si>
  <si>
    <t>17. Light-framed walls with shear panels of all other materials</t>
  </si>
  <si>
    <t>2.5</t>
  </si>
  <si>
    <t>1.5</t>
  </si>
  <si>
    <t>24. Light-framed walls with shear panels of all other materials</t>
  </si>
  <si>
    <t>1. Special steel moment frames</t>
  </si>
  <si>
    <t>2. Special steel truss moment frames</t>
  </si>
  <si>
    <t>3. Intermediate steel moment frames</t>
  </si>
  <si>
    <r>
      <t>35</t>
    </r>
    <r>
      <rPr>
        <i/>
        <sz val="8"/>
        <color indexed="8"/>
        <rFont val="Arial"/>
        <family val="2"/>
      </rPr>
      <t>(h)</t>
    </r>
  </si>
  <si>
    <r>
      <t>NP</t>
    </r>
    <r>
      <rPr>
        <i/>
        <sz val="8"/>
        <color indexed="8"/>
        <rFont val="Arial"/>
        <family val="2"/>
      </rPr>
      <t>(h)</t>
    </r>
  </si>
  <si>
    <r>
      <t>NP</t>
    </r>
    <r>
      <rPr>
        <i/>
        <sz val="8"/>
        <color indexed="8"/>
        <rFont val="Arial"/>
        <family val="2"/>
      </rPr>
      <t>(i)</t>
    </r>
  </si>
  <si>
    <t>4. Ordinary steel moment frames</t>
  </si>
  <si>
    <t>5. Special reinforced concrete moment frames</t>
  </si>
  <si>
    <t>6. Intermediate reinf. concrete moment frames</t>
  </si>
  <si>
    <t>7. Ordinary reinf. concrete moment frames</t>
  </si>
  <si>
    <t>8. Special composite steel and concrete moment frames</t>
  </si>
  <si>
    <t>9. Intermediate composite moment frames</t>
  </si>
  <si>
    <t>10. Composite partially restrained moment frames</t>
  </si>
  <si>
    <t>11. Ordinary composite moment frames</t>
  </si>
  <si>
    <t>1. Steel eccentrically braced frames</t>
  </si>
  <si>
    <t>2. Special steel concentrically braced frames</t>
  </si>
  <si>
    <t>3. Special reinforced concrete shear walls</t>
  </si>
  <si>
    <t>4. Ordinary reinforced concrete shear walls</t>
  </si>
  <si>
    <t>5. Composite steel and concrete eccentrically braced frames</t>
  </si>
  <si>
    <t>6. Composite steel and concrete concentrically braced frames</t>
  </si>
  <si>
    <t>7. Composite steel plate shear walls</t>
  </si>
  <si>
    <t>8. Special composite reinforced concrete shear walls with steel elements</t>
  </si>
  <si>
    <t>9. Ordinary composite reinforced concrete shear walls with steel elements</t>
  </si>
  <si>
    <t>10. Special reinforced masonry shear walls</t>
  </si>
  <si>
    <t>11. Intermediate reinf. masonry shear walls</t>
  </si>
  <si>
    <t>12. Buckling-restrained braced frame</t>
  </si>
  <si>
    <t>13. Special steel plate shear walls</t>
  </si>
  <si>
    <r>
      <t xml:space="preserve">1. Special steel concentrically braced frames </t>
    </r>
    <r>
      <rPr>
        <i/>
        <sz val="8"/>
        <color indexed="8"/>
        <rFont val="Arial"/>
        <family val="2"/>
      </rPr>
      <t>(f)</t>
    </r>
  </si>
  <si>
    <r>
      <t>NP</t>
    </r>
    <r>
      <rPr>
        <i/>
        <sz val="8"/>
        <color indexed="8"/>
        <rFont val="Arial"/>
        <family val="2"/>
      </rPr>
      <t>(h,k)</t>
    </r>
  </si>
  <si>
    <t>2. Special reinforced concrete shear walls</t>
  </si>
  <si>
    <t>3. Ordinary reinforced masonry shear walls</t>
  </si>
  <si>
    <t>4. Intermediate reinforced masonry shear walls</t>
  </si>
  <si>
    <t>5. Composite steel and concrete concentrically braced frames</t>
  </si>
  <si>
    <t xml:space="preserve">6. Ordinary composite braced frames          </t>
  </si>
  <si>
    <t>7. Ordinary composite reinforced concrete shear walls with steel elements</t>
  </si>
  <si>
    <t>8. Ordinary reinforced concrete shear walls</t>
  </si>
  <si>
    <t>1. Shear wall-frame interactive system with ord. reinf. conc. MF and ord. reinf. conc. SW</t>
  </si>
  <si>
    <t>G. Cantilevered Column Systems</t>
  </si>
  <si>
    <t>1. Steel systems not specifically detailed for seismic resistance</t>
  </si>
  <si>
    <t>a. - Response modification coefficient, R, for use throughout the standard.  Note R reduces forces to a strength level, not an allowable stress level.</t>
  </si>
  <si>
    <t>b. - Deflection amplification factor, Cd, for use in Sections 12.8.6, 12.8.7, and 12.9.2.</t>
  </si>
  <si>
    <r>
      <t xml:space="preserve">c. - </t>
    </r>
    <r>
      <rPr>
        <sz val="8"/>
        <color indexed="11"/>
        <rFont val="Arial"/>
        <family val="2"/>
      </rPr>
      <t>NL</t>
    </r>
    <r>
      <rPr>
        <sz val="8"/>
        <rFont val="Arial"/>
        <family val="2"/>
      </rPr>
      <t xml:space="preserve"> = Not Limited and </t>
    </r>
    <r>
      <rPr>
        <sz val="8"/>
        <color indexed="10"/>
        <rFont val="Arial"/>
        <family val="2"/>
      </rPr>
      <t>NP</t>
    </r>
    <r>
      <rPr>
        <sz val="8"/>
        <rFont val="Arial"/>
        <family val="2"/>
      </rPr>
      <t xml:space="preserve"> = Not Permitted.  For metric units use 30.5m for 100 ft. and use 48.8m for 160 ft.  Heights are measured from the base of the structure as defined in Secion 11.2.</t>
    </r>
  </si>
  <si>
    <t>d. - See Section 12.2.5.4 for a description of building systems limited to buildings with a height of 240 feet or less.</t>
  </si>
  <si>
    <t>e. - See Section 12.2.5.4 for building systems limited to buildings with a height of 160 feet or less.</t>
  </si>
  <si>
    <t>f. - Ordinary moment frame is permitted to be used in lieu of intermediate moment frame in Seismic Design Categories B or C.</t>
  </si>
  <si>
    <t>j. - Steel ordinary concentrically braced frames are permitted in single-story buildings up to a height of 60 feet, where the dead load of the roof does not exceed 20 psf and in penthouse structures.</t>
  </si>
  <si>
    <t>k. - Increase in height to 45 ft. is permitted for single story storage warehouse facilities.</t>
  </si>
  <si>
    <t>13. Ordinary reinforced AAC masonry shear walls</t>
  </si>
  <si>
    <t>14. Ordinary plain AAC masonry shear walls</t>
  </si>
  <si>
    <t>15. Light-framed walls sheathed with wood structural panels rated for shear or steel sheets</t>
  </si>
  <si>
    <t>16. Light-framed (cold-formed steel)/wood structural panels for shear resistance or st. sheathing</t>
  </si>
  <si>
    <t>18. Light-frame (cold-formed steel) wall system using flat strap bracing</t>
  </si>
  <si>
    <t>http://earthquake.usgs.gov/hazards/</t>
  </si>
  <si>
    <t>2. Steel special concentrically braced frames</t>
  </si>
  <si>
    <t>3. Steel ordinary concentrically braced frames</t>
  </si>
  <si>
    <t>4. Special reinforced concrete shear walls</t>
  </si>
  <si>
    <t>5. Ordinary reinforced concrete shear walls</t>
  </si>
  <si>
    <t>6. Detailed plain concrete shear walls</t>
  </si>
  <si>
    <t>7. Ordinary plain concrete shear walls</t>
  </si>
  <si>
    <t>8. Intermediate precast shear walls</t>
  </si>
  <si>
    <t>9. Ordindary precast shear walls</t>
  </si>
  <si>
    <t>10. Steel and concrete composite eccentrically braced frames</t>
  </si>
  <si>
    <t>11. Steel and concrete composite special concentrically braced frames</t>
  </si>
  <si>
    <t>12. Steel and concrete composite ordinary braced frames</t>
  </si>
  <si>
    <t>13. Steel and concrete composite plate shear walls</t>
  </si>
  <si>
    <t>14. Steel and concrete composite special shear walls</t>
  </si>
  <si>
    <t>15. Steel and concrete composite ordinary shear walls</t>
  </si>
  <si>
    <t>16. Special reinforced masonry shear walls</t>
  </si>
  <si>
    <t>17. Intermediate reinf. masonry shear walls</t>
  </si>
  <si>
    <t>18. Ordinary reinforced masonry shear walls</t>
  </si>
  <si>
    <t>19. Detailed plain masonry shear walls</t>
  </si>
  <si>
    <t>20. Ordinary plain masonry shear walls</t>
  </si>
  <si>
    <t>21. Prestressed masonry shear walls</t>
  </si>
  <si>
    <t>22. Light-frame (wood) walls sheathed with wood  struct. panels rated for shear resistance</t>
  </si>
  <si>
    <t>23. Light-frame (cold-formed steel) walls sheathed w/ wood  struct. panels or steel sheets</t>
  </si>
  <si>
    <t>25. Steel buckling-restrained braced frames</t>
  </si>
  <si>
    <t>26. Special steel plate shear walls</t>
  </si>
  <si>
    <t>12. Cold-formed steel-special bolted moment frame</t>
  </si>
  <si>
    <t>3.5</t>
  </si>
  <si>
    <t>3</t>
  </si>
  <si>
    <t>1. Steel special cantilever column systems</t>
  </si>
  <si>
    <t>2. Steel ordinary cantilever column systems</t>
  </si>
  <si>
    <t>3. Special reinforced concrete moment frames</t>
  </si>
  <si>
    <t>4. Intermediate reinforced concrete moment frames</t>
  </si>
  <si>
    <t>5. Ordinary reinforced concrete moment frames</t>
  </si>
  <si>
    <t>6. Timber frames</t>
  </si>
  <si>
    <t>1</t>
  </si>
  <si>
    <t>1.25</t>
  </si>
  <si>
    <r>
      <t xml:space="preserve">g. - The tabulated value of the overstrength factor, </t>
    </r>
    <r>
      <rPr>
        <sz val="8"/>
        <rFont val="Symbol"/>
        <family val="1"/>
        <charset val="2"/>
      </rPr>
      <t>W</t>
    </r>
    <r>
      <rPr>
        <sz val="8"/>
        <rFont val="Arial"/>
        <family val="2"/>
      </rPr>
      <t>o, is permitted to be reduced by subtracting 1/2 for structures with flexible diaphragms but shall not be taken as less than 2.0 for any structure.</t>
    </r>
  </si>
  <si>
    <t>h. - See Sections 12.2.5.7 for limitations for structures assigned to Sesimic Design Category D, E or F.</t>
  </si>
  <si>
    <t>i. - See Sections 12.2.5.6 for limitations for structures assigned to Sesimic Design Category D, E or F.</t>
  </si>
  <si>
    <t>l.  - In Section 2.2 of ACI 318, a shear wall is defined as a structural wall.</t>
  </si>
  <si>
    <t>m.  - In Section 2.2 of ACI 318, the definition of "special structural wall" includes precast and cast-in-place construction.</t>
  </si>
  <si>
    <t>n.  - In Section 2.2 of ACI 318, the definition of "special structural wall" includes precast and cast-in-place construction.</t>
  </si>
  <si>
    <t>o.  - Alternatively, the seismic load effect with overstrength, Emh, is permitted to be based on the expected strength determined in accordance with AISI S110.</t>
  </si>
  <si>
    <t>o.  - Cold formed steel- special bolted moment frames shall be limited to one story in height in accordance with AISI S110.</t>
  </si>
  <si>
    <t xml:space="preserve">1. Special reinforced concrete shear walls </t>
  </si>
  <si>
    <t>SEISMIC BASE SHEAR AND OVERTURNING MOMENT</t>
  </si>
  <si>
    <t>SEISMIC COEFFICIENTS FOR NONBUILDING STRUCTURES NOT SIMILAR TO BUILDINGS</t>
  </si>
  <si>
    <t>For Ground Supported Vertical Cylindrical Tanks, Vessels, and Stacks</t>
  </si>
  <si>
    <r>
      <t xml:space="preserve">STRUCTURAL SYSTEM AND HEIGHT LIMITS (ft.) </t>
    </r>
    <r>
      <rPr>
        <b/>
        <i/>
        <sz val="8"/>
        <rFont val="Arial"/>
        <family val="2"/>
      </rPr>
      <t>(a)</t>
    </r>
    <r>
      <rPr>
        <b/>
        <sz val="8"/>
        <rFont val="Arial"/>
        <family val="2"/>
      </rPr>
      <t>,</t>
    </r>
    <r>
      <rPr>
        <b/>
        <i/>
        <sz val="8"/>
        <rFont val="Arial"/>
        <family val="2"/>
      </rPr>
      <t>(d)</t>
    </r>
  </si>
  <si>
    <t>Seismic Coefficients for Nonbuilding Structures Not Similar to Buildings (Classified as Ground Supported Vertical Tanks or Vessels)</t>
  </si>
  <si>
    <t>NONBUILDING STRUCTURE TYPE</t>
  </si>
  <si>
    <t>Wo</t>
  </si>
  <si>
    <t>Cd</t>
  </si>
  <si>
    <t>SEISMIC DESIGN CATEGORY</t>
  </si>
  <si>
    <t>Structural System Height Limits</t>
  </si>
  <si>
    <t>A &amp; B</t>
  </si>
  <si>
    <t>Nonbuilding Structure Type</t>
  </si>
  <si>
    <t>4a. Elevated tanks, vessels, bins or hoppers on symmetrically braced legs (not similar to buildings)</t>
  </si>
  <si>
    <r>
      <t xml:space="preserve">2 </t>
    </r>
    <r>
      <rPr>
        <i/>
        <sz val="8"/>
        <color indexed="8"/>
        <rFont val="Arial"/>
        <family val="2"/>
      </rPr>
      <t>(b)</t>
    </r>
  </si>
  <si>
    <t>7a</t>
  </si>
  <si>
    <t>Flat bottom, ground supported tanks - steel or fiber-reinforced - mechanically anchored</t>
  </si>
  <si>
    <t>4b. Elevated tanks, vessels, bins or hoppers on unbraced legs or asymmetrically braced legs (not similar to buildings)</t>
  </si>
  <si>
    <r>
      <t xml:space="preserve">2 </t>
    </r>
    <r>
      <rPr>
        <i/>
        <sz val="8"/>
        <color indexed="8"/>
        <rFont val="Arial Greek"/>
      </rPr>
      <t>(b)</t>
    </r>
  </si>
  <si>
    <t>7b</t>
  </si>
  <si>
    <t>Flat bottom, ground supported tanks - steel or fiber-reinforced - self-anchored</t>
  </si>
  <si>
    <t>4c. Elevated tanks, vessels, bins or hoppers single pedestal or skirt supported - welded steel</t>
  </si>
  <si>
    <r>
      <t xml:space="preserve">Importance Factor, </t>
    </r>
    <r>
      <rPr>
        <sz val="10"/>
        <color indexed="8"/>
        <rFont val="Tahoma"/>
        <family val="2"/>
      </rPr>
      <t>I</t>
    </r>
    <r>
      <rPr>
        <sz val="10"/>
        <color indexed="8"/>
        <rFont val="Arial"/>
        <family val="2"/>
      </rPr>
      <t xml:space="preserve"> =</t>
    </r>
  </si>
  <si>
    <t>7c</t>
  </si>
  <si>
    <t>Flat bottom, ground supported tanks - reinforced or prestressed concrete - reinforced nonsliding base</t>
  </si>
  <si>
    <t>4d. Elevated tanks, vessels, bins or hoppers single pedestal or skirt supported - welded steel with special detailing</t>
  </si>
  <si>
    <t>7d</t>
  </si>
  <si>
    <t>Flat bottom, ground supported tanks - reinforced or prestressed concrete - anchored flexible base</t>
  </si>
  <si>
    <t>4e. Elevated tanks, vessels, bins or hoppers single pedestal or skirt supported - prestressed or reinforced concrete</t>
  </si>
  <si>
    <t>(not required)</t>
  </si>
  <si>
    <t xml:space="preserve">              F</t>
  </si>
  <si>
    <t>7e</t>
  </si>
  <si>
    <t>Flat bottom, ground supported tanks - reinforced or prestressed concrete - unanchored and unconstrained flexible base</t>
  </si>
  <si>
    <t>4f. Elevated tanks, vessels, bins or hoppers single pedestal or skirt supported - prestressed or reinf. concrete with special detailing</t>
  </si>
  <si>
    <r>
      <t>Spectral Accel., S</t>
    </r>
    <r>
      <rPr>
        <sz val="8"/>
        <color indexed="8"/>
        <rFont val="Arial"/>
        <family val="2"/>
      </rPr>
      <t>S</t>
    </r>
    <r>
      <rPr>
        <sz val="10"/>
        <color indexed="8"/>
        <rFont val="Arial"/>
        <family val="2"/>
      </rPr>
      <t xml:space="preserve"> =</t>
    </r>
  </si>
  <si>
    <t>7f</t>
  </si>
  <si>
    <t>Flat bottom, ground supported tanks - all other</t>
  </si>
  <si>
    <t>5a. Horizontal, saddle supported welded steel vessels</t>
  </si>
  <si>
    <r>
      <t>Spectral Accel., S</t>
    </r>
    <r>
      <rPr>
        <sz val="8"/>
        <color indexed="8"/>
        <rFont val="Arial"/>
        <family val="2"/>
      </rPr>
      <t>1</t>
    </r>
    <r>
      <rPr>
        <sz val="10"/>
        <color indexed="8"/>
        <rFont val="Arial"/>
        <family val="2"/>
      </rPr>
      <t xml:space="preserve"> =</t>
    </r>
  </si>
  <si>
    <t xml:space="preserve">     h</t>
  </si>
  <si>
    <t>11a</t>
  </si>
  <si>
    <t>All other steel and reinf. concrete distributed mass cantilever structures not covered herein including stacks, chimneys, silos, etc.</t>
  </si>
  <si>
    <t>6a. Tanks or vessels supported on towers of special steel concentrically braced frames</t>
  </si>
  <si>
    <r>
      <t>Long, Trans. Period, T</t>
    </r>
    <r>
      <rPr>
        <sz val="8"/>
        <color indexed="8"/>
        <rFont val="Arial"/>
        <family val="2"/>
      </rPr>
      <t>L</t>
    </r>
    <r>
      <rPr>
        <sz val="10"/>
        <color indexed="8"/>
        <rFont val="Arial"/>
        <family val="2"/>
      </rPr>
      <t xml:space="preserve"> =</t>
    </r>
  </si>
  <si>
    <t>6b. Tanks or vessels supported on towers of ordinary steel concentrically braced frames</t>
  </si>
  <si>
    <t>Tank/Vessel Height, h =</t>
  </si>
  <si>
    <t xml:space="preserve">         2*h/3</t>
  </si>
  <si>
    <t>6c. Tanks or vessels supported on towers of ordinary steel concentrically braced frames with permitted height increase</t>
  </si>
  <si>
    <t>Tank/Vessel Diameter, d =</t>
  </si>
  <si>
    <r>
      <t>h</t>
    </r>
    <r>
      <rPr>
        <sz val="8"/>
        <color indexed="12"/>
        <rFont val="Arial"/>
        <family val="2"/>
      </rPr>
      <t xml:space="preserve"> (ft.)</t>
    </r>
  </si>
  <si>
    <t>6d. Tanks or vessels supported on towers of ordinary steel concentrically braced frames with unlimited height</t>
  </si>
  <si>
    <t>Wall Thickness, t =</t>
  </si>
  <si>
    <t>in.</t>
  </si>
  <si>
    <t xml:space="preserve">          V</t>
  </si>
  <si>
    <t>6e. Tanks or vessels supported on towers of special steel moment frames</t>
  </si>
  <si>
    <r>
      <t xml:space="preserve">Tank Mat'l. Unit Wt., </t>
    </r>
    <r>
      <rPr>
        <sz val="10"/>
        <rFont val="Symbol"/>
        <family val="1"/>
        <charset val="2"/>
      </rPr>
      <t>r</t>
    </r>
    <r>
      <rPr>
        <sz val="10"/>
        <rFont val="Arial"/>
        <family val="2"/>
      </rPr>
      <t>t =</t>
    </r>
  </si>
  <si>
    <t>pcf</t>
  </si>
  <si>
    <t>6f. Tanks or vessels supported on towers of special reinforced concrete moment frames</t>
  </si>
  <si>
    <t>Tank Elastic Modulus, E =</t>
  </si>
  <si>
    <t>ksi</t>
  </si>
  <si>
    <t>6g. Tanks or vessels supported on towers of intermediate steel moment frames</t>
  </si>
  <si>
    <t>Roof Weight, Wr =</t>
  </si>
  <si>
    <t>kips</t>
  </si>
  <si>
    <t>V = Cs*W = 101.29 kips</t>
  </si>
  <si>
    <t xml:space="preserve">Estimated Shell (Wp) &amp; Bottom (Wb) Weights: </t>
  </si>
  <si>
    <t>6h. Tanks or vessels supported on towers of intermediate steel moment frames with permitted height increase</t>
  </si>
  <si>
    <t>Shell Weight, Ws =</t>
  </si>
  <si>
    <r>
      <t xml:space="preserve">Ws = </t>
    </r>
    <r>
      <rPr>
        <sz val="9"/>
        <rFont val="Symbol"/>
        <family val="1"/>
        <charset val="2"/>
      </rPr>
      <t>p</t>
    </r>
    <r>
      <rPr>
        <sz val="9"/>
        <rFont val="Arial"/>
        <family val="2"/>
      </rPr>
      <t>*(d^2-(d-2*t/12)^2)/4*h*</t>
    </r>
    <r>
      <rPr>
        <sz val="9"/>
        <rFont val="Symbol"/>
        <family val="1"/>
        <charset val="2"/>
      </rPr>
      <t>r</t>
    </r>
    <r>
      <rPr>
        <sz val="9"/>
        <rFont val="Arial"/>
        <family val="2"/>
      </rPr>
      <t>t</t>
    </r>
  </si>
  <si>
    <t>6i. Tanks or vessels supported on towers of intermediate steel moment frames with unlimited height</t>
  </si>
  <si>
    <t>Bottom Weight, Wb =</t>
  </si>
  <si>
    <r>
      <t xml:space="preserve">Wb = </t>
    </r>
    <r>
      <rPr>
        <sz val="9"/>
        <rFont val="Symbol"/>
        <family val="1"/>
        <charset val="2"/>
      </rPr>
      <t>p</t>
    </r>
    <r>
      <rPr>
        <sz val="9"/>
        <rFont val="Arial"/>
        <family val="2"/>
      </rPr>
      <t>*d^2/4*(t/12)*</t>
    </r>
    <r>
      <rPr>
        <sz val="9"/>
        <rFont val="Symbol"/>
        <family val="1"/>
        <charset val="2"/>
      </rPr>
      <t>r</t>
    </r>
    <r>
      <rPr>
        <sz val="9"/>
        <rFont val="Arial"/>
        <family val="2"/>
      </rPr>
      <t>t/1000</t>
    </r>
  </si>
  <si>
    <t>6j.Tanks or vessels supported on towers of intermediate reinforced concrete moment frames</t>
  </si>
  <si>
    <r>
      <t xml:space="preserve">Contents Unit Weight, </t>
    </r>
    <r>
      <rPr>
        <sz val="10"/>
        <color indexed="8"/>
        <rFont val="Symbol"/>
        <family val="1"/>
        <charset val="2"/>
      </rPr>
      <t>r</t>
    </r>
    <r>
      <rPr>
        <sz val="10"/>
        <color indexed="8"/>
        <rFont val="Arial"/>
        <family val="2"/>
      </rPr>
      <t>c =</t>
    </r>
  </si>
  <si>
    <t>Yes</t>
  </si>
  <si>
    <t>6k. Tanks or vessels supported on towers of intermediate reinforced concrete moment frames with permitted height increase</t>
  </si>
  <si>
    <t>Height of Contents, hp =</t>
  </si>
  <si>
    <t>No</t>
  </si>
  <si>
    <t>Estimated Contents Weight (Wp):</t>
  </si>
  <si>
    <t>6l. Tanks or vessels supported on towers of intermediate reinforced concrete moment frames with unlimited height</t>
  </si>
  <si>
    <t>Contents Weight, Wp =</t>
  </si>
  <si>
    <r>
      <t xml:space="preserve">Wp = </t>
    </r>
    <r>
      <rPr>
        <sz val="9"/>
        <rFont val="Symbol"/>
        <family val="1"/>
        <charset val="2"/>
      </rPr>
      <t>p</t>
    </r>
    <r>
      <rPr>
        <sz val="9"/>
        <rFont val="Arial"/>
        <family val="2"/>
      </rPr>
      <t>*(d-2*t/12)^2/4*hp*</t>
    </r>
    <r>
      <rPr>
        <sz val="9"/>
        <rFont val="Symbol"/>
        <family val="1"/>
        <charset val="2"/>
      </rPr>
      <t>r</t>
    </r>
    <r>
      <rPr>
        <sz val="9"/>
        <rFont val="Arial"/>
        <family val="2"/>
      </rPr>
      <t>c/1000</t>
    </r>
  </si>
  <si>
    <t>6m. Tanks or vessels supported on towers of ordinary moment frames of steel</t>
  </si>
  <si>
    <t>Liquid Contents?</t>
  </si>
  <si>
    <t>6n. Tanks or vessels supported on towers of ordinary moment frames of steel with permitted height increase</t>
  </si>
  <si>
    <t xml:space="preserve">  Structural System =</t>
  </si>
  <si>
    <t>6o. Tanks or vessels supported on towers of ordinary moment frames of steel with unlimited height</t>
  </si>
  <si>
    <t>6p. Tanks or vessels supported on towers of ordinary reinforced concrete moment frames</t>
  </si>
  <si>
    <t>6q. Tanks or vessels supported on towers of ordinary reinforced concrete moment frames with permitted height increase</t>
  </si>
  <si>
    <t/>
  </si>
  <si>
    <t>7a. Flat bottom, ground supported tanks - steel or fiber-reinforced - mechanically anchored</t>
  </si>
  <si>
    <t>7b. Flat bottom, ground supported tanks - steel or fiber-reinforced - self-anchored</t>
  </si>
  <si>
    <r>
      <t>F</t>
    </r>
    <r>
      <rPr>
        <sz val="8"/>
        <rFont val="Arial"/>
        <family val="2"/>
      </rPr>
      <t>a</t>
    </r>
    <r>
      <rPr>
        <sz val="10"/>
        <rFont val="Arial"/>
        <family val="2"/>
      </rPr>
      <t xml:space="preserve"> =</t>
    </r>
  </si>
  <si>
    <t>7c. Flat bottom, ground supported tanks - reinforced or prestressed concrete - reinforced nonsliding base</t>
  </si>
  <si>
    <r>
      <t>F</t>
    </r>
    <r>
      <rPr>
        <sz val="8"/>
        <rFont val="Arial"/>
        <family val="2"/>
      </rPr>
      <t>v</t>
    </r>
    <r>
      <rPr>
        <sz val="10"/>
        <rFont val="Arial"/>
        <family val="2"/>
      </rPr>
      <t xml:space="preserve"> =</t>
    </r>
  </si>
  <si>
    <t>7d. Flat bottom, ground supported tanks - reinforced or prestressed concrete - anchored flexible base</t>
  </si>
  <si>
    <t>7e. Flat bottom, ground supported tanks - reinforced or prestressed concrete - unanchored and unconstrained flexible base</t>
  </si>
  <si>
    <r>
      <t xml:space="preserve">1.5 </t>
    </r>
    <r>
      <rPr>
        <i/>
        <sz val="8"/>
        <color indexed="8"/>
        <rFont val="Arial"/>
        <family val="2"/>
      </rPr>
      <t>(b)</t>
    </r>
  </si>
  <si>
    <t>7f. Flat bottom, ground supported tanks - all other</t>
  </si>
  <si>
    <r>
      <t>S</t>
    </r>
    <r>
      <rPr>
        <sz val="8"/>
        <rFont val="Arial"/>
        <family val="2"/>
      </rPr>
      <t>MS</t>
    </r>
    <r>
      <rPr>
        <sz val="10"/>
        <rFont val="Arial"/>
        <family val="2"/>
      </rPr>
      <t xml:space="preserve"> =</t>
    </r>
  </si>
  <si>
    <t>8a. Cast-in-place concrete silos, stacks, and chimneys having walls continuous to the foundation</t>
  </si>
  <si>
    <r>
      <t>S</t>
    </r>
    <r>
      <rPr>
        <sz val="8"/>
        <rFont val="Arial"/>
        <family val="2"/>
      </rPr>
      <t>M1</t>
    </r>
    <r>
      <rPr>
        <sz val="10"/>
        <rFont val="Arial"/>
        <family val="2"/>
      </rPr>
      <t xml:space="preserve"> =</t>
    </r>
  </si>
  <si>
    <t>9a. All other reinforced masonry structures not similar to buildings</t>
  </si>
  <si>
    <t>10a. All other nonreinforced masonry structures not similar to buildings</t>
  </si>
  <si>
    <t>11a. All other steel and reinf. concrete distributed mass cantilever structures not covered herein including stacks, chimneys, silos, etc.</t>
  </si>
  <si>
    <r>
      <t>S</t>
    </r>
    <r>
      <rPr>
        <sz val="8"/>
        <rFont val="Arial"/>
        <family val="2"/>
      </rPr>
      <t>DS</t>
    </r>
    <r>
      <rPr>
        <sz val="10"/>
        <rFont val="Arial"/>
        <family val="2"/>
      </rPr>
      <t xml:space="preserve"> =</t>
    </r>
  </si>
  <si>
    <t>12a. Trussed towers (freestanding or guyed), guyed stacks and chimneys</t>
  </si>
  <si>
    <r>
      <t>S</t>
    </r>
    <r>
      <rPr>
        <sz val="8"/>
        <rFont val="Arial"/>
        <family val="2"/>
      </rPr>
      <t>D1</t>
    </r>
    <r>
      <rPr>
        <sz val="10"/>
        <rFont val="Arial"/>
        <family val="2"/>
      </rPr>
      <t xml:space="preserve"> =</t>
    </r>
  </si>
  <si>
    <t>13a. Cooling towers of concrete or steel</t>
  </si>
  <si>
    <t>13b. Cooling towers of wood frames</t>
  </si>
  <si>
    <t>14a. Steel truss telecommunication towers</t>
  </si>
  <si>
    <r>
      <t>Category(for S</t>
    </r>
    <r>
      <rPr>
        <sz val="8"/>
        <rFont val="Arial"/>
        <family val="2"/>
      </rPr>
      <t>DS</t>
    </r>
    <r>
      <rPr>
        <sz val="10"/>
        <rFont val="Arial"/>
        <family val="2"/>
      </rPr>
      <t>) =</t>
    </r>
  </si>
  <si>
    <t>14b. Steel pole telecommunication towers</t>
  </si>
  <si>
    <r>
      <t>Category(for S</t>
    </r>
    <r>
      <rPr>
        <sz val="8"/>
        <rFont val="Arial"/>
        <family val="2"/>
      </rPr>
      <t>D1</t>
    </r>
    <r>
      <rPr>
        <sz val="10"/>
        <rFont val="Arial"/>
        <family val="2"/>
      </rPr>
      <t>) =</t>
    </r>
  </si>
  <si>
    <t>14c. Wood pole telecommunication towers</t>
  </si>
  <si>
    <t>14d. Concrete pole telecommunication towers</t>
  </si>
  <si>
    <t>14e. Steel frame telecommunication towers</t>
  </si>
  <si>
    <t>14f. Wood frame telecommunication towers</t>
  </si>
  <si>
    <r>
      <t>T</t>
    </r>
    <r>
      <rPr>
        <sz val="10"/>
        <rFont val="Arial"/>
        <family val="2"/>
      </rPr>
      <t xml:space="preserve"> =</t>
    </r>
  </si>
  <si>
    <r>
      <t>sec.</t>
    </r>
    <r>
      <rPr>
        <sz val="10"/>
        <color indexed="8"/>
        <rFont val="Arial"/>
        <family val="2"/>
      </rPr>
      <t>, T = 0.00000765*(h/d)^2*(W*1000/h*d/(t/12))^</t>
    </r>
    <r>
      <rPr>
        <sz val="8"/>
        <color indexed="8"/>
        <rFont val="Arial"/>
        <family val="2"/>
      </rPr>
      <t>(1/2)</t>
    </r>
  </si>
  <si>
    <t>14g. Concrete frame telecommunication towers</t>
  </si>
  <si>
    <t>Rigid or Flexible?</t>
  </si>
  <si>
    <t>Rigid</t>
  </si>
  <si>
    <t>Criteria: If T &lt; 0.06, then Rigid, else if T &gt;= 0.06, then Flexible</t>
  </si>
  <si>
    <t>15a. Amusement structures and monuments</t>
  </si>
  <si>
    <t>16a. Inverted pendulum-type structures (except elevated tanks, vessels, bins, and hoppers)</t>
  </si>
  <si>
    <t>17a. Signs and billboards</t>
  </si>
  <si>
    <t>18a. All other self-supporting structures, tanks or vessels</t>
  </si>
  <si>
    <r>
      <t xml:space="preserve">Overstrength Factor, </t>
    </r>
    <r>
      <rPr>
        <sz val="10"/>
        <rFont val="Symbol"/>
        <family val="1"/>
        <charset val="2"/>
      </rPr>
      <t>W</t>
    </r>
    <r>
      <rPr>
        <sz val="10"/>
        <rFont val="Arial"/>
        <family val="2"/>
      </rPr>
      <t>o =</t>
    </r>
  </si>
  <si>
    <r>
      <t>Defl. Amplif. Factor, C</t>
    </r>
    <r>
      <rPr>
        <sz val="8"/>
        <rFont val="Arial"/>
        <family val="2"/>
      </rPr>
      <t>d</t>
    </r>
    <r>
      <rPr>
        <sz val="10"/>
        <rFont val="Arial"/>
        <family val="2"/>
      </rPr>
      <t xml:space="preserve"> =</t>
    </r>
  </si>
  <si>
    <r>
      <t>(a)</t>
    </r>
    <r>
      <rPr>
        <sz val="8"/>
        <color indexed="8"/>
        <rFont val="Arial"/>
        <family val="2"/>
      </rPr>
      <t xml:space="preserve"> </t>
    </r>
    <r>
      <rPr>
        <sz val="8"/>
        <color indexed="11"/>
        <rFont val="Arial"/>
        <family val="2"/>
      </rPr>
      <t>NL</t>
    </r>
    <r>
      <rPr>
        <sz val="8"/>
        <rFont val="Arial"/>
        <family val="2"/>
      </rPr>
      <t xml:space="preserve"> = No limit and </t>
    </r>
    <r>
      <rPr>
        <sz val="8"/>
        <color indexed="10"/>
        <rFont val="Arial"/>
        <family val="2"/>
      </rPr>
      <t>NP</t>
    </r>
    <r>
      <rPr>
        <sz val="8"/>
        <rFont val="Arial"/>
        <family val="2"/>
      </rPr>
      <t xml:space="preserve"> = Not permitted.  Height shall be measured from the base.</t>
    </r>
  </si>
  <si>
    <r>
      <t>(b)</t>
    </r>
    <r>
      <rPr>
        <sz val="8"/>
        <color indexed="8"/>
        <rFont val="Arial"/>
        <family val="2"/>
      </rPr>
      <t xml:space="preserve"> See Section 15.7.3a for the application of the overstrength factors, </t>
    </r>
    <r>
      <rPr>
        <sz val="8"/>
        <color indexed="8"/>
        <rFont val="Symbol"/>
        <family val="1"/>
        <charset val="2"/>
      </rPr>
      <t>W</t>
    </r>
    <r>
      <rPr>
        <sz val="8"/>
        <color indexed="8"/>
        <rFont val="Arial"/>
        <family val="2"/>
      </rPr>
      <t>o, for tanks and vessels.</t>
    </r>
  </si>
  <si>
    <t>(c ) If a section is not indicated in the Detailing Requirements column, no specific detailing requirements apply.</t>
  </si>
  <si>
    <t>Assume tank/vessel and contents as a combined rigid mass</t>
  </si>
  <si>
    <t>Tank/vessel ground supported (7a thru 7f)?</t>
  </si>
  <si>
    <r>
      <t>(d)</t>
    </r>
    <r>
      <rPr>
        <sz val="8"/>
        <color indexed="8"/>
        <rFont val="Arial"/>
        <family val="2"/>
      </rPr>
      <t xml:space="preserve"> For the purpose of height limit determination, the height of the structure shall be taken as the height to the top of the structural frame making up the primary seismic-force resisting system.</t>
    </r>
  </si>
  <si>
    <t>Total Seismic Weight, W =</t>
  </si>
  <si>
    <t>Liquid contents?</t>
  </si>
  <si>
    <r>
      <t>C</t>
    </r>
    <r>
      <rPr>
        <sz val="8"/>
        <rFont val="Arial"/>
        <family val="2"/>
      </rPr>
      <t>S</t>
    </r>
    <r>
      <rPr>
        <sz val="10"/>
        <rFont val="Arial"/>
        <family val="2"/>
      </rPr>
      <t xml:space="preserve"> </t>
    </r>
    <r>
      <rPr>
        <sz val="10"/>
        <rFont val="Arial"/>
        <family val="2"/>
      </rPr>
      <t>=</t>
    </r>
  </si>
  <si>
    <t>Perform sloshing calc's.?</t>
  </si>
  <si>
    <r>
      <t>C</t>
    </r>
    <r>
      <rPr>
        <sz val="8"/>
        <rFont val="Arial"/>
        <family val="2"/>
      </rPr>
      <t>S(max)</t>
    </r>
    <r>
      <rPr>
        <sz val="10"/>
        <rFont val="Arial"/>
        <family val="2"/>
      </rPr>
      <t xml:space="preserve"> </t>
    </r>
    <r>
      <rPr>
        <sz val="10"/>
        <rFont val="Arial"/>
        <family val="2"/>
      </rPr>
      <t>=</t>
    </r>
  </si>
  <si>
    <r>
      <t>C</t>
    </r>
    <r>
      <rPr>
        <sz val="8"/>
        <rFont val="Arial"/>
        <family val="2"/>
      </rPr>
      <t>S(min)</t>
    </r>
    <r>
      <rPr>
        <sz val="10"/>
        <rFont val="Arial"/>
        <family val="2"/>
      </rPr>
      <t xml:space="preserve"> </t>
    </r>
    <r>
      <rPr>
        <sz val="10"/>
        <rFont val="Arial"/>
        <family val="2"/>
      </rPr>
      <t>=</t>
    </r>
  </si>
  <si>
    <r>
      <t>C</t>
    </r>
    <r>
      <rPr>
        <sz val="8"/>
        <color indexed="8"/>
        <rFont val="Arial"/>
        <family val="2"/>
      </rPr>
      <t>S(min)</t>
    </r>
    <r>
      <rPr>
        <sz val="10"/>
        <color indexed="8"/>
        <rFont val="Arial"/>
        <family val="2"/>
      </rPr>
      <t xml:space="preserve"> &lt;= C</t>
    </r>
    <r>
      <rPr>
        <sz val="8"/>
        <color indexed="8"/>
        <rFont val="Arial"/>
        <family val="2"/>
      </rPr>
      <t>S</t>
    </r>
    <r>
      <rPr>
        <sz val="10"/>
        <color indexed="8"/>
        <rFont val="Arial"/>
        <family val="2"/>
      </rPr>
      <t xml:space="preserve"> &lt;= C</t>
    </r>
    <r>
      <rPr>
        <sz val="8"/>
        <color indexed="8"/>
        <rFont val="Arial"/>
        <family val="2"/>
      </rPr>
      <t xml:space="preserve">S(max) </t>
    </r>
  </si>
  <si>
    <t>Ci: API 650 Appendix E Fig. E-1</t>
  </si>
  <si>
    <t>Seismic Base Shear, V =</t>
  </si>
  <si>
    <r>
      <t>kips</t>
    </r>
    <r>
      <rPr>
        <sz val="10"/>
        <color indexed="8"/>
        <rFont val="Arial"/>
        <family val="2"/>
      </rPr>
      <t>,</t>
    </r>
  </si>
  <si>
    <t>H/D = hp/d</t>
  </si>
  <si>
    <t>Ci</t>
  </si>
  <si>
    <r>
      <t>C</t>
    </r>
    <r>
      <rPr>
        <sz val="8"/>
        <rFont val="Arial"/>
        <family val="2"/>
      </rPr>
      <t>vx</t>
    </r>
    <r>
      <rPr>
        <sz val="10"/>
        <rFont val="Arial"/>
        <family val="2"/>
      </rPr>
      <t xml:space="preserve"> =</t>
    </r>
  </si>
  <si>
    <t>Force at 2*h/3, F =</t>
  </si>
  <si>
    <r>
      <t>M</t>
    </r>
    <r>
      <rPr>
        <sz val="8"/>
        <color indexed="8"/>
        <rFont val="Arial"/>
        <family val="2"/>
      </rPr>
      <t>o</t>
    </r>
    <r>
      <rPr>
        <sz val="10"/>
        <color indexed="8"/>
        <rFont val="Arial"/>
        <family val="2"/>
      </rPr>
      <t xml:space="preserve"> =</t>
    </r>
  </si>
  <si>
    <r>
      <t>ft-kips</t>
    </r>
    <r>
      <rPr>
        <sz val="10"/>
        <color indexed="8"/>
        <rFont val="Arial"/>
        <family val="2"/>
      </rPr>
      <t>,</t>
    </r>
  </si>
  <si>
    <t>Mo = (0.30*SDS*I)*(Wr*h+Ws*h/2+Wp*hp/2) (@Top/Fdn)</t>
  </si>
  <si>
    <r>
      <t>C</t>
    </r>
    <r>
      <rPr>
        <sz val="8"/>
        <color indexed="8"/>
        <rFont val="Arial"/>
        <family val="2"/>
      </rPr>
      <t>i</t>
    </r>
    <r>
      <rPr>
        <sz val="10"/>
        <color indexed="8"/>
        <rFont val="Arial"/>
        <family val="2"/>
      </rPr>
      <t xml:space="preserve"> =</t>
    </r>
  </si>
  <si>
    <r>
      <t>C</t>
    </r>
    <r>
      <rPr>
        <sz val="8"/>
        <rFont val="Arial"/>
        <family val="2"/>
      </rPr>
      <t>i</t>
    </r>
    <r>
      <rPr>
        <sz val="10"/>
        <rFont val="Arial"/>
        <family val="2"/>
      </rPr>
      <t xml:space="preserve"> = from API 650 Appendix E, Fig. E-1 </t>
    </r>
  </si>
  <si>
    <r>
      <t>T</t>
    </r>
    <r>
      <rPr>
        <sz val="8"/>
        <rFont val="Arial"/>
        <family val="2"/>
      </rPr>
      <t>i</t>
    </r>
    <r>
      <rPr>
        <sz val="10"/>
        <rFont val="Arial"/>
        <family val="2"/>
      </rPr>
      <t xml:space="preserve"> =</t>
    </r>
  </si>
  <si>
    <r>
      <t>sec.</t>
    </r>
    <r>
      <rPr>
        <sz val="10"/>
        <color indexed="8"/>
        <rFont val="Arial"/>
        <family val="2"/>
      </rPr>
      <t>, T</t>
    </r>
    <r>
      <rPr>
        <sz val="8"/>
        <color indexed="8"/>
        <rFont val="Arial"/>
        <family val="2"/>
      </rPr>
      <t>i</t>
    </r>
    <r>
      <rPr>
        <sz val="10"/>
        <color indexed="8"/>
        <rFont val="Arial"/>
        <family val="2"/>
      </rPr>
      <t xml:space="preserve"> = 1/27.8*Ci*hp*SQRT(</t>
    </r>
    <r>
      <rPr>
        <sz val="10"/>
        <color indexed="8"/>
        <rFont val="Symbol"/>
        <family val="1"/>
        <charset val="2"/>
      </rPr>
      <t>r</t>
    </r>
    <r>
      <rPr>
        <sz val="10"/>
        <color indexed="8"/>
        <rFont val="Arial"/>
        <family val="2"/>
      </rPr>
      <t>c/E)/SQRT(t/D), API 650 Appendix E</t>
    </r>
  </si>
  <si>
    <r>
      <t>T</t>
    </r>
    <r>
      <rPr>
        <sz val="8"/>
        <rFont val="Arial"/>
        <family val="2"/>
      </rPr>
      <t>s</t>
    </r>
    <r>
      <rPr>
        <sz val="10"/>
        <rFont val="Arial"/>
        <family val="2"/>
      </rPr>
      <t xml:space="preserve"> =</t>
    </r>
  </si>
  <si>
    <r>
      <t>T</t>
    </r>
    <r>
      <rPr>
        <sz val="8"/>
        <rFont val="Arial"/>
        <family val="2"/>
      </rPr>
      <t>c</t>
    </r>
    <r>
      <rPr>
        <sz val="10"/>
        <rFont val="Arial"/>
        <family val="2"/>
      </rPr>
      <t xml:space="preserve"> =</t>
    </r>
  </si>
  <si>
    <r>
      <t>sec.</t>
    </r>
    <r>
      <rPr>
        <sz val="10"/>
        <color indexed="8"/>
        <rFont val="Arial"/>
        <family val="2"/>
      </rPr>
      <t>, T</t>
    </r>
    <r>
      <rPr>
        <sz val="8"/>
        <color indexed="8"/>
        <rFont val="Arial"/>
        <family val="2"/>
      </rPr>
      <t>c</t>
    </r>
    <r>
      <rPr>
        <sz val="10"/>
        <color indexed="8"/>
        <rFont val="Arial"/>
        <family val="2"/>
      </rPr>
      <t xml:space="preserve"> = 2*</t>
    </r>
    <r>
      <rPr>
        <sz val="10"/>
        <color indexed="8"/>
        <rFont val="Symbol"/>
        <family val="1"/>
        <charset val="2"/>
      </rPr>
      <t>p</t>
    </r>
    <r>
      <rPr>
        <sz val="10"/>
        <color indexed="8"/>
        <rFont val="Arial"/>
        <family val="2"/>
      </rPr>
      <t>*SQRT(d/(3.68*g*TANH(3.68*hp/d))),  Eqn. 15.7-12</t>
    </r>
  </si>
  <si>
    <r>
      <t>S</t>
    </r>
    <r>
      <rPr>
        <sz val="8"/>
        <rFont val="Arial"/>
        <family val="2"/>
      </rPr>
      <t>ai</t>
    </r>
    <r>
      <rPr>
        <sz val="10"/>
        <rFont val="Arial"/>
        <family val="2"/>
      </rPr>
      <t xml:space="preserve"> =</t>
    </r>
  </si>
  <si>
    <r>
      <t>S</t>
    </r>
    <r>
      <rPr>
        <sz val="8"/>
        <rFont val="Arial"/>
        <family val="2"/>
      </rPr>
      <t>ac</t>
    </r>
    <r>
      <rPr>
        <sz val="10"/>
        <rFont val="Arial"/>
        <family val="2"/>
      </rPr>
      <t xml:space="preserve"> =</t>
    </r>
  </si>
  <si>
    <t>Sac = 1.5*SD1/Tc &lt;= 1.5*SDS, for Tc &lt;= TL,  ASCE 7 Eqn. 15.7-10</t>
  </si>
  <si>
    <r>
      <t>W</t>
    </r>
    <r>
      <rPr>
        <sz val="8"/>
        <rFont val="Arial"/>
        <family val="2"/>
      </rPr>
      <t>i</t>
    </r>
    <r>
      <rPr>
        <sz val="10"/>
        <rFont val="Arial"/>
        <family val="2"/>
      </rPr>
      <t xml:space="preserve"> =</t>
    </r>
  </si>
  <si>
    <t>Wi = TANH(0.866*d/hp)/(0.866*d/hp)*Wp, API 650 Appendix E</t>
  </si>
  <si>
    <r>
      <t>W</t>
    </r>
    <r>
      <rPr>
        <sz val="8"/>
        <rFont val="Arial"/>
        <family val="2"/>
      </rPr>
      <t>c</t>
    </r>
    <r>
      <rPr>
        <sz val="10"/>
        <rFont val="Arial"/>
        <family val="2"/>
      </rPr>
      <t xml:space="preserve"> =</t>
    </r>
  </si>
  <si>
    <t>Wc = (0.23*d/hp*TANH(3.67*hp/d))*Wp, API 650 Appendix E</t>
  </si>
  <si>
    <r>
      <t>C</t>
    </r>
    <r>
      <rPr>
        <sz val="8"/>
        <rFont val="Arial"/>
        <family val="2"/>
      </rPr>
      <t>1</t>
    </r>
    <r>
      <rPr>
        <sz val="10"/>
        <rFont val="Arial"/>
        <family val="2"/>
      </rPr>
      <t xml:space="preserve"> =</t>
    </r>
  </si>
  <si>
    <r>
      <t>V</t>
    </r>
    <r>
      <rPr>
        <sz val="8"/>
        <rFont val="Arial"/>
        <family val="2"/>
      </rPr>
      <t>i</t>
    </r>
    <r>
      <rPr>
        <sz val="10"/>
        <rFont val="Arial"/>
        <family val="2"/>
      </rPr>
      <t xml:space="preserve"> =</t>
    </r>
  </si>
  <si>
    <r>
      <t>C</t>
    </r>
    <r>
      <rPr>
        <sz val="8"/>
        <rFont val="Arial"/>
        <family val="2"/>
      </rPr>
      <t>2</t>
    </r>
    <r>
      <rPr>
        <sz val="10"/>
        <rFont val="Arial"/>
        <family val="2"/>
      </rPr>
      <t xml:space="preserve"> =</t>
    </r>
  </si>
  <si>
    <r>
      <t>V</t>
    </r>
    <r>
      <rPr>
        <sz val="8"/>
        <color indexed="8"/>
        <rFont val="Arial"/>
        <family val="2"/>
      </rPr>
      <t>c</t>
    </r>
    <r>
      <rPr>
        <sz val="10"/>
        <color indexed="8"/>
        <rFont val="Arial"/>
        <family val="2"/>
      </rPr>
      <t xml:space="preserve"> =</t>
    </r>
  </si>
  <si>
    <t>Per ASCE 7, V =</t>
  </si>
  <si>
    <r>
      <t>kips</t>
    </r>
    <r>
      <rPr>
        <sz val="10"/>
        <color indexed="8"/>
        <rFont val="Arial"/>
        <family val="2"/>
      </rPr>
      <t>, V = Vi + Vc,  ASCE Eqn. 15.7-4, page 168</t>
    </r>
  </si>
  <si>
    <t>Per ASCE 7 (SRSS), V =</t>
  </si>
  <si>
    <r>
      <t>kips</t>
    </r>
    <r>
      <rPr>
        <sz val="10"/>
        <color indexed="8"/>
        <rFont val="Arial"/>
        <family val="2"/>
      </rPr>
      <t>, V = SQRT(V</t>
    </r>
    <r>
      <rPr>
        <sz val="8"/>
        <color indexed="8"/>
        <rFont val="Arial"/>
        <family val="2"/>
      </rPr>
      <t>i^2</t>
    </r>
    <r>
      <rPr>
        <sz val="10"/>
        <color indexed="8"/>
        <rFont val="Arial"/>
        <family val="2"/>
      </rPr>
      <t xml:space="preserve"> + V</t>
    </r>
    <r>
      <rPr>
        <sz val="8"/>
        <color indexed="8"/>
        <rFont val="Arial"/>
        <family val="2"/>
      </rPr>
      <t>c^2)</t>
    </r>
    <r>
      <rPr>
        <sz val="10"/>
        <color indexed="8"/>
        <rFont val="Arial"/>
        <family val="2"/>
      </rPr>
      <t>,  ASCE Sect. 15.7.6.1 Note "e", p. 168</t>
    </r>
  </si>
  <si>
    <t>Per API 650, V =</t>
  </si>
  <si>
    <t>kips, V = MAX(Ai*(Wr+Ws+Wb+Wi),Ac*Wc)+0.40*MIN(Ai*(Wr+Ws+Wb+Wi),Ac*Wc)</t>
  </si>
  <si>
    <t>Per API 650 (SRSS), V =</t>
  </si>
  <si>
    <r>
      <t>kips</t>
    </r>
    <r>
      <rPr>
        <sz val="10"/>
        <color indexed="8"/>
        <rFont val="Arial"/>
        <family val="2"/>
      </rPr>
      <t>, V = SQRT((Ai*(Wr+Ws+Wb+Wi))^2+(Ac*Wc)^2), API 650 App. E</t>
    </r>
  </si>
  <si>
    <r>
      <t>X</t>
    </r>
    <r>
      <rPr>
        <sz val="8"/>
        <rFont val="Arial"/>
        <family val="2"/>
      </rPr>
      <t>s</t>
    </r>
    <r>
      <rPr>
        <sz val="10"/>
        <rFont val="Arial"/>
        <family val="2"/>
      </rPr>
      <t xml:space="preserve"> =</t>
    </r>
  </si>
  <si>
    <r>
      <t>X</t>
    </r>
    <r>
      <rPr>
        <sz val="8"/>
        <color indexed="8"/>
        <rFont val="Arial"/>
        <family val="2"/>
      </rPr>
      <t>s</t>
    </r>
    <r>
      <rPr>
        <sz val="10"/>
        <color indexed="8"/>
        <rFont val="Arial"/>
        <family val="2"/>
      </rPr>
      <t xml:space="preserve"> = h/2 (assumed), API 650 Appendix E</t>
    </r>
  </si>
  <si>
    <r>
      <t>X</t>
    </r>
    <r>
      <rPr>
        <sz val="8"/>
        <color indexed="8"/>
        <rFont val="Arial"/>
        <family val="2"/>
      </rPr>
      <t>is</t>
    </r>
    <r>
      <rPr>
        <sz val="10"/>
        <color indexed="8"/>
        <rFont val="Arial"/>
        <family val="2"/>
      </rPr>
      <t xml:space="preserve"> =</t>
    </r>
  </si>
  <si>
    <t>Xis = 0.375*(1+4/3*((0.866*d/hp)/(TANH(0.866*d/hp))-1))*hp, API 650</t>
  </si>
  <si>
    <r>
      <t>X</t>
    </r>
    <r>
      <rPr>
        <sz val="8"/>
        <color indexed="8"/>
        <rFont val="Arial"/>
        <family val="2"/>
      </rPr>
      <t>cs</t>
    </r>
    <r>
      <rPr>
        <sz val="10"/>
        <color indexed="8"/>
        <rFont val="Arial"/>
        <family val="2"/>
      </rPr>
      <t xml:space="preserve"> =</t>
    </r>
  </si>
  <si>
    <t>Xcs = (1-(COSH(3.67/(d/hp))-1.9375)/(3.67/(d/hp)*SINH(3.67/(d/hp))))*hp</t>
  </si>
  <si>
    <t>Use:</t>
  </si>
  <si>
    <r>
      <t>R</t>
    </r>
    <r>
      <rPr>
        <sz val="8"/>
        <color indexed="8"/>
        <rFont val="Arial"/>
        <family val="2"/>
      </rPr>
      <t>wi</t>
    </r>
    <r>
      <rPr>
        <sz val="10"/>
        <color indexed="8"/>
        <rFont val="Arial"/>
        <family val="2"/>
      </rPr>
      <t xml:space="preserve"> =</t>
    </r>
  </si>
  <si>
    <t>Rwi = from API 650 Appendix E, Table E-4 (mechanically-anchored)</t>
  </si>
  <si>
    <r>
      <t>R</t>
    </r>
    <r>
      <rPr>
        <sz val="8"/>
        <color indexed="8"/>
        <rFont val="Arial"/>
        <family val="2"/>
      </rPr>
      <t>wc</t>
    </r>
    <r>
      <rPr>
        <sz val="10"/>
        <color indexed="8"/>
        <rFont val="Arial"/>
        <family val="2"/>
      </rPr>
      <t xml:space="preserve"> =</t>
    </r>
  </si>
  <si>
    <t>Rwc = from API 650 Appendix E, Table E-4 (mechanically-anchored)</t>
  </si>
  <si>
    <t>K =</t>
  </si>
  <si>
    <t>K = 1.5 (assumed) from API 650 Appendix E, Section E.2.2</t>
  </si>
  <si>
    <r>
      <t>A</t>
    </r>
    <r>
      <rPr>
        <sz val="8"/>
        <color indexed="8"/>
        <rFont val="Arial"/>
        <family val="2"/>
      </rPr>
      <t>i</t>
    </r>
    <r>
      <rPr>
        <sz val="10"/>
        <color indexed="8"/>
        <rFont val="Arial"/>
        <family val="2"/>
      </rPr>
      <t xml:space="preserve"> =</t>
    </r>
  </si>
  <si>
    <t>Ai = max. of: SDS*I/Rwi and 0.007, API 650 Appendix E</t>
  </si>
  <si>
    <r>
      <t>A</t>
    </r>
    <r>
      <rPr>
        <sz val="8"/>
        <color indexed="8"/>
        <rFont val="Arial"/>
        <family val="2"/>
      </rPr>
      <t>c</t>
    </r>
    <r>
      <rPr>
        <sz val="10"/>
        <color indexed="8"/>
        <rFont val="Arial"/>
        <family val="2"/>
      </rPr>
      <t xml:space="preserve"> =</t>
    </r>
  </si>
  <si>
    <t>Ac = K*SD1*1/Tc*I/Rwc, API 650 Appendix E</t>
  </si>
  <si>
    <r>
      <t>Per ASCE 7, M</t>
    </r>
    <r>
      <rPr>
        <sz val="8"/>
        <color indexed="8"/>
        <rFont val="Arial"/>
        <family val="2"/>
      </rPr>
      <t>o</t>
    </r>
    <r>
      <rPr>
        <sz val="10"/>
        <color indexed="8"/>
        <rFont val="Arial"/>
        <family val="2"/>
      </rPr>
      <t xml:space="preserve"> =</t>
    </r>
  </si>
  <si>
    <r>
      <t>ft-kips</t>
    </r>
    <r>
      <rPr>
        <sz val="10"/>
        <color indexed="8"/>
        <rFont val="Arial"/>
        <family val="2"/>
      </rPr>
      <t>,  Mo = C1*(Wr*h+Ws*Xs+Wi*Xis)+C2*Wc*Xcs</t>
    </r>
  </si>
  <si>
    <r>
      <t>Per ASCE 7 (SRSS), M</t>
    </r>
    <r>
      <rPr>
        <sz val="8"/>
        <color indexed="8"/>
        <rFont val="Arial"/>
        <family val="2"/>
      </rPr>
      <t>o</t>
    </r>
    <r>
      <rPr>
        <sz val="10"/>
        <color indexed="8"/>
        <rFont val="Arial"/>
        <family val="2"/>
      </rPr>
      <t xml:space="preserve"> =</t>
    </r>
  </si>
  <si>
    <r>
      <t>ft-kips</t>
    </r>
    <r>
      <rPr>
        <sz val="10"/>
        <color indexed="8"/>
        <rFont val="Arial"/>
        <family val="2"/>
      </rPr>
      <t>,  Mo = SQRT((C1*(Wr*h+Ws*Xs+Wi*Xis))^2+(C2*Wc*Xcs)^2)</t>
    </r>
  </si>
  <si>
    <r>
      <t>Per API 650, M</t>
    </r>
    <r>
      <rPr>
        <sz val="8"/>
        <color indexed="8"/>
        <rFont val="Arial"/>
        <family val="2"/>
      </rPr>
      <t>o</t>
    </r>
    <r>
      <rPr>
        <sz val="10"/>
        <color indexed="8"/>
        <rFont val="Arial"/>
        <family val="2"/>
      </rPr>
      <t xml:space="preserve"> =</t>
    </r>
  </si>
  <si>
    <r>
      <t>ft-kips</t>
    </r>
    <r>
      <rPr>
        <sz val="10"/>
        <color indexed="8"/>
        <rFont val="Arial"/>
        <family val="2"/>
      </rPr>
      <t>,  Mo = Ai*(Wr*h+Ws*Xs+Wi*Xis)+Ac*Wc*Xcs</t>
    </r>
  </si>
  <si>
    <r>
      <t>Per API 650 (SRSS), M</t>
    </r>
    <r>
      <rPr>
        <sz val="8"/>
        <color indexed="8"/>
        <rFont val="Arial"/>
        <family val="2"/>
      </rPr>
      <t>o</t>
    </r>
    <r>
      <rPr>
        <sz val="10"/>
        <color indexed="8"/>
        <rFont val="Arial"/>
        <family val="2"/>
      </rPr>
      <t xml:space="preserve"> =</t>
    </r>
  </si>
  <si>
    <r>
      <t>ft-kips</t>
    </r>
    <r>
      <rPr>
        <sz val="10"/>
        <color indexed="8"/>
        <rFont val="Arial"/>
        <family val="2"/>
      </rPr>
      <t>,  Mo = SQRT((Ai*(Wr*h+Ws*Xs+Wi*Xis))^2+(Ac*Wc*Xcs)^2)</t>
    </r>
  </si>
  <si>
    <t>(Note: Mo is the overturning moment at top of foundation.)</t>
  </si>
  <si>
    <t>SEISMIC BASE SHEAR</t>
  </si>
  <si>
    <t>SEISMIC COEFFICIENTS FOR NONBUILDING STRUCTURES SIMILAR TO BUILDINGS</t>
  </si>
  <si>
    <t>For Nonbuilding Structures Not Similar to Buildings</t>
  </si>
  <si>
    <r>
      <t xml:space="preserve">STRUCTURAL SYSTEM AND HEIGHT LIMITS (ft.) </t>
    </r>
    <r>
      <rPr>
        <b/>
        <i/>
        <sz val="8"/>
        <rFont val="Arial"/>
        <family val="2"/>
      </rPr>
      <t>(a)</t>
    </r>
    <r>
      <rPr>
        <b/>
        <sz val="8"/>
        <rFont val="Arial"/>
        <family val="2"/>
      </rPr>
      <t>,</t>
    </r>
    <r>
      <rPr>
        <b/>
        <i/>
        <sz val="8"/>
        <rFont val="Arial"/>
        <family val="2"/>
      </rPr>
      <t>(e)</t>
    </r>
  </si>
  <si>
    <t>Seismic Coefficients for Nonbuilding Structures Similar to Buildings</t>
  </si>
  <si>
    <t>1a. Steel storage racks</t>
  </si>
  <si>
    <t>01a</t>
  </si>
  <si>
    <t>Steel storage racks</t>
  </si>
  <si>
    <t>2a. Special steel concentrically braced frames</t>
  </si>
  <si>
    <t>02a</t>
  </si>
  <si>
    <t>Special steel concentrically braced frames</t>
  </si>
  <si>
    <t>2b. Ordinary steel concentrically braced frames</t>
  </si>
  <si>
    <r>
      <t xml:space="preserve">35 </t>
    </r>
    <r>
      <rPr>
        <i/>
        <sz val="8"/>
        <color indexed="8"/>
        <rFont val="Arial"/>
        <family val="2"/>
      </rPr>
      <t>(b)</t>
    </r>
  </si>
  <si>
    <r>
      <t xml:space="preserve">NP </t>
    </r>
    <r>
      <rPr>
        <i/>
        <sz val="8"/>
        <color indexed="8"/>
        <rFont val="Arial"/>
        <family val="2"/>
      </rPr>
      <t>(b)</t>
    </r>
  </si>
  <si>
    <t>02b</t>
  </si>
  <si>
    <t>Ordinary steel concentrically braced frames</t>
  </si>
  <si>
    <t>2c. Ordinary steel concentrically braced frames with permitted height increase</t>
  </si>
  <si>
    <t>02c</t>
  </si>
  <si>
    <t>Ordinary steel concentrically braced frames with permitted height increase</t>
  </si>
  <si>
    <t>2d. Ordinary steel concentrically braced frames with unlimited height</t>
  </si>
  <si>
    <t>02d</t>
  </si>
  <si>
    <t>Ordinary steel concentrically braced frames with unlimited height</t>
  </si>
  <si>
    <t>3a. Special steel moment frames</t>
  </si>
  <si>
    <t>03a</t>
  </si>
  <si>
    <t>Special steel moment frames</t>
  </si>
  <si>
    <t>3b. Special reinforced concrete moment frames</t>
  </si>
  <si>
    <t>03b</t>
  </si>
  <si>
    <t>3c. Intermediate steel moment frames</t>
  </si>
  <si>
    <r>
      <t xml:space="preserve">35 </t>
    </r>
    <r>
      <rPr>
        <i/>
        <sz val="8"/>
        <color indexed="8"/>
        <rFont val="Arial"/>
        <family val="2"/>
      </rPr>
      <t>(c ),(d)</t>
    </r>
  </si>
  <si>
    <r>
      <t xml:space="preserve">NP </t>
    </r>
    <r>
      <rPr>
        <i/>
        <sz val="8"/>
        <color indexed="8"/>
        <rFont val="Arial"/>
        <family val="2"/>
      </rPr>
      <t>(c ),(d)</t>
    </r>
  </si>
  <si>
    <r>
      <t>Long, Trans. Period, T</t>
    </r>
    <r>
      <rPr>
        <sz val="8"/>
        <rFont val="Arial"/>
        <family val="2"/>
      </rPr>
      <t>L</t>
    </r>
    <r>
      <rPr>
        <sz val="10"/>
        <rFont val="Arial"/>
        <family val="2"/>
      </rPr>
      <t xml:space="preserve"> =</t>
    </r>
  </si>
  <si>
    <t>03c</t>
  </si>
  <si>
    <t>Intermediate steel moment frames</t>
  </si>
  <si>
    <t>3d. Intermediate steel moment frames with permitted height increase</t>
  </si>
  <si>
    <r>
      <t>Height, h</t>
    </r>
    <r>
      <rPr>
        <sz val="10"/>
        <rFont val="Arial"/>
        <family val="2"/>
      </rPr>
      <t xml:space="preserve"> =</t>
    </r>
  </si>
  <si>
    <t>03d</t>
  </si>
  <si>
    <t>Intermediate steel moment frames with permitted height increase</t>
  </si>
  <si>
    <t>3e. Intermediate steel moment frames with unlimited height</t>
  </si>
  <si>
    <t>03e</t>
  </si>
  <si>
    <t>Intermediate steel moment frames with unlimited height</t>
  </si>
  <si>
    <t>3f. Intermediate reinforced concrete moment frames</t>
  </si>
  <si>
    <r>
      <t>sec.</t>
    </r>
    <r>
      <rPr>
        <sz val="10"/>
        <color indexed="8"/>
        <rFont val="Arial"/>
        <family val="2"/>
      </rPr>
      <t xml:space="preserve">  Determined from independent analysis</t>
    </r>
  </si>
  <si>
    <t>03f</t>
  </si>
  <si>
    <t>3g. Intermediate reinforced concrete moment frames with permitted height increase</t>
  </si>
  <si>
    <t xml:space="preserve">  Structure Type =</t>
  </si>
  <si>
    <t>07a</t>
  </si>
  <si>
    <t>03g</t>
  </si>
  <si>
    <t>Intermediate reinforced concrete moment frames with permitted height increase</t>
  </si>
  <si>
    <t>3h. Intermediate reinforced concrete moment frames with unlimited height</t>
  </si>
  <si>
    <t>03h</t>
  </si>
  <si>
    <t>Intermediate reinforced concrete moment frames with unlimited height</t>
  </si>
  <si>
    <t>3i. Ordinary moment frames of steel</t>
  </si>
  <si>
    <t>03i</t>
  </si>
  <si>
    <t>Ordinary moment frames of steel</t>
  </si>
  <si>
    <t>3j. Ordinary moment frames of steel with permitted height increase</t>
  </si>
  <si>
    <t>03j</t>
  </si>
  <si>
    <t>Ordinary moment frames of steel with permitted height increase</t>
  </si>
  <si>
    <t>3k. Ordinary moment frames of steel with unlimited height</t>
  </si>
  <si>
    <t>03k</t>
  </si>
  <si>
    <t>Ordinary moment frames of steel with unlimited height</t>
  </si>
  <si>
    <t>3l. Ordinary reinforced concrete moment frames</t>
  </si>
  <si>
    <t>03l</t>
  </si>
  <si>
    <t>3m. Ordinary reinforced concrete moment frames with permitted height increase</t>
  </si>
  <si>
    <t>03m</t>
  </si>
  <si>
    <t>Ordinary reinforced concrete moment frames with permitted height increase</t>
  </si>
  <si>
    <t>Seismic Coefficients for Nonbuilding Structures Not Similar to Buildings</t>
  </si>
  <si>
    <r>
      <t>(b)</t>
    </r>
    <r>
      <rPr>
        <sz val="8"/>
        <color indexed="8"/>
        <rFont val="Arial"/>
        <family val="2"/>
      </rPr>
      <t xml:space="preserve"> Steel ordinary braced frames are permitted in pipe racks up to 65 ft. (20m).</t>
    </r>
  </si>
  <si>
    <t>(c ) Steel ordinary moment frames and intermediate moment frames are permitted in pipe racks up to a height of 65 ft. (20m) where the moment joints of field connections are constructed of bolted end plates.</t>
  </si>
  <si>
    <t>04a</t>
  </si>
  <si>
    <t>Elevated tanks, vessels, bins or hoppers on symmetrically braced legs (not similar to buildings)</t>
  </si>
  <si>
    <r>
      <t>(d)</t>
    </r>
    <r>
      <rPr>
        <sz val="8"/>
        <color indexed="8"/>
        <rFont val="Arial"/>
        <family val="2"/>
      </rPr>
      <t xml:space="preserve"> Steel ordinary moment frames and intermediate moment frames are permitted in pipe racks up to a height of 35 ft. (11m).</t>
    </r>
  </si>
  <si>
    <t>04b</t>
  </si>
  <si>
    <t>Elevated tanks, vessels, bins or hoppers on unbraced legs or asymmetrically braced legs (not similar to buildings)</t>
  </si>
  <si>
    <r>
      <t>(e)</t>
    </r>
    <r>
      <rPr>
        <sz val="8"/>
        <color indexed="8"/>
        <rFont val="Arial"/>
        <family val="2"/>
      </rPr>
      <t xml:space="preserve"> For the purpose of height limit determination, the height of the structure shall be taken as the height to the top of the structural frame making up the primary seismic-force resisting system.</t>
    </r>
  </si>
  <si>
    <t>04c</t>
  </si>
  <si>
    <t>Elevated tanks, vessels, bins or hoppers single pedestal or skirt supported - welded steel</t>
  </si>
  <si>
    <t>04d</t>
  </si>
  <si>
    <t>Elevated tanks, vessels, bins or hoppers single pedestal or skirt supported - welded steel with special detailing</t>
  </si>
  <si>
    <t>04e</t>
  </si>
  <si>
    <t>Elevated tanks, vessels, bins or hoppers single pedestal or skirt supported - prestressed or reinforced concrete</t>
  </si>
  <si>
    <t>04f</t>
  </si>
  <si>
    <t>Elevated tanks, vessels, bins or hoppers single pedestal or skirt supported - prestressed or reinforced concrete with special detailing</t>
  </si>
  <si>
    <t>05a</t>
  </si>
  <si>
    <t>Horizontal, saddle supported welded steel vessels</t>
  </si>
  <si>
    <t>06a</t>
  </si>
  <si>
    <t>Tanks or vessels supported on towers of special steel concentrically braced frames</t>
  </si>
  <si>
    <t>06b</t>
  </si>
  <si>
    <t>Tanks or vessels supported on towers of ordinary steel concentrically braced frames</t>
  </si>
  <si>
    <t>06c</t>
  </si>
  <si>
    <t>Tanks or vessels supported on towers of ordinary steel concentrically braced frames with permitted height increase</t>
  </si>
  <si>
    <t>06d</t>
  </si>
  <si>
    <t>Tanks or vessels supported on towers of ordinary steel concentrically braced frames with unlimited height</t>
  </si>
  <si>
    <r>
      <t>Period Coefficient, C</t>
    </r>
    <r>
      <rPr>
        <sz val="8"/>
        <rFont val="Arial"/>
        <family val="2"/>
      </rPr>
      <t>T</t>
    </r>
    <r>
      <rPr>
        <sz val="10"/>
        <rFont val="Arial"/>
        <family val="2"/>
      </rPr>
      <t xml:space="preserve"> =</t>
    </r>
  </si>
  <si>
    <t>06e</t>
  </si>
  <si>
    <t>Tanks or vessels supported on towers of special steel moment frames</t>
  </si>
  <si>
    <t>06f</t>
  </si>
  <si>
    <t>Tanks or vessels supported on towers of special reinforced concrete moment frames</t>
  </si>
  <si>
    <r>
      <t>Approx. Period, T</t>
    </r>
    <r>
      <rPr>
        <sz val="8"/>
        <rFont val="Arial"/>
        <family val="2"/>
      </rPr>
      <t>a</t>
    </r>
    <r>
      <rPr>
        <sz val="10"/>
        <rFont val="Arial"/>
        <family val="2"/>
      </rPr>
      <t xml:space="preserve"> =</t>
    </r>
  </si>
  <si>
    <t>06g</t>
  </si>
  <si>
    <t>Tanks or vessels supported on towers of intermediate steel moment frames</t>
  </si>
  <si>
    <r>
      <t>Upper Limit Coef., C</t>
    </r>
    <r>
      <rPr>
        <sz val="8"/>
        <rFont val="Arial"/>
        <family val="2"/>
      </rPr>
      <t>u</t>
    </r>
    <r>
      <rPr>
        <sz val="10"/>
        <rFont val="Arial"/>
        <family val="2"/>
      </rPr>
      <t xml:space="preserve"> =</t>
    </r>
  </si>
  <si>
    <t>06h</t>
  </si>
  <si>
    <t>Tanks or vessels supported on towers of intermediate steel moment frames with permitted height increase</t>
  </si>
  <si>
    <r>
      <t>Period max., T</t>
    </r>
    <r>
      <rPr>
        <sz val="8"/>
        <rFont val="Arial"/>
        <family val="2"/>
      </rPr>
      <t>(max)</t>
    </r>
    <r>
      <rPr>
        <sz val="10"/>
        <rFont val="Arial"/>
        <family val="2"/>
      </rPr>
      <t xml:space="preserve"> =</t>
    </r>
  </si>
  <si>
    <t>06i</t>
  </si>
  <si>
    <t>Tanks or vessels supported on towers of intermediate steel moment frames with unlimited height</t>
  </si>
  <si>
    <t>06j</t>
  </si>
  <si>
    <t>Tanks or vessels supported on towers of intermediate reinforced concrete moment frames</t>
  </si>
  <si>
    <t>06k</t>
  </si>
  <si>
    <t>Tanks or vessels supported on towers of intermediate reinforced concrete moment frames with permitted height increase</t>
  </si>
  <si>
    <t>06l</t>
  </si>
  <si>
    <t>Tanks or vessels supported on towers of intermediate reinforced concrete moment frames with unlimited height</t>
  </si>
  <si>
    <t>06m</t>
  </si>
  <si>
    <t>Tanks or vessels supported on towers of ordinary moment frames of steel</t>
  </si>
  <si>
    <t>06n</t>
  </si>
  <si>
    <t>Tanks or vessels supported on towers of ordinary moment frames of steel with permitted height increase</t>
  </si>
  <si>
    <t>06o</t>
  </si>
  <si>
    <t>Tanks or vessels supported on towers of ordinary moment frames of steel with unlimited height</t>
  </si>
  <si>
    <t>06p</t>
  </si>
  <si>
    <t>Tanks or vessels supported on towers of ordinary reinforced concrete moment frames</t>
  </si>
  <si>
    <t>06q</t>
  </si>
  <si>
    <t>Tanks or vessels supported on towers of ordinary reinforced concrete moment frames with permitted height increase</t>
  </si>
  <si>
    <t>6j. Tanks or vessels supported on towers of intermediate reinforced concrete moment frames</t>
  </si>
  <si>
    <t>07b</t>
  </si>
  <si>
    <t>07c</t>
  </si>
  <si>
    <t>07d</t>
  </si>
  <si>
    <t>07e</t>
  </si>
  <si>
    <t>07f</t>
  </si>
  <si>
    <t>08a</t>
  </si>
  <si>
    <t>Cast-in-place concrete silos, stacks, and chimneys having walls continuous to the foundation</t>
  </si>
  <si>
    <t>09a</t>
  </si>
  <si>
    <t>All other reinforced masonry structures not similar to buildings</t>
  </si>
  <si>
    <t>10a</t>
  </si>
  <si>
    <t>All other nonreinforced masonry structures not similar to buildings</t>
  </si>
  <si>
    <t>12a</t>
  </si>
  <si>
    <t>Trussed towers (freestanding or guyed), guyed stacks and chimneys</t>
  </si>
  <si>
    <t>13a</t>
  </si>
  <si>
    <t>Cooling towers of concrete or steel</t>
  </si>
  <si>
    <t>13b</t>
  </si>
  <si>
    <t>Cooling towers of wood frames</t>
  </si>
  <si>
    <t>14a</t>
  </si>
  <si>
    <t>Steel truss telecommunication towers</t>
  </si>
  <si>
    <t>14b</t>
  </si>
  <si>
    <t>Steel pole telecommunication towers</t>
  </si>
  <si>
    <t>14c</t>
  </si>
  <si>
    <t>Wood pole telecommunication towers</t>
  </si>
  <si>
    <t>14d</t>
  </si>
  <si>
    <t>Concrete pole telecommunication towers</t>
  </si>
  <si>
    <t>14e</t>
  </si>
  <si>
    <t>Steel frame telecommunication towers</t>
  </si>
  <si>
    <t>14f</t>
  </si>
  <si>
    <t>Wood frame telecommunication towers</t>
  </si>
  <si>
    <t>14g</t>
  </si>
  <si>
    <t>Concrete frame telecommunication towers</t>
  </si>
  <si>
    <t>15a</t>
  </si>
  <si>
    <t>Amusement structures and monuments</t>
  </si>
  <si>
    <t>16a</t>
  </si>
  <si>
    <t>Inverted pendulum-type structures (except elevated tanks, vessels, bins, and hoppers)</t>
  </si>
  <si>
    <t>17a</t>
  </si>
  <si>
    <t>Signs and billboards</t>
  </si>
  <si>
    <t>18a</t>
  </si>
  <si>
    <t>All other self-supporting structures, tanks or vessels</t>
  </si>
  <si>
    <t>SEISMIC FORCE FOR COMPONENTS</t>
  </si>
  <si>
    <t xml:space="preserve">COEFFICIENTS FOR ARCHITECTURAL COMPONENTS </t>
  </si>
  <si>
    <t xml:space="preserve">For Architectural Components </t>
  </si>
  <si>
    <t>ARCHITECTURAL COMPONENT OR ELEMENT</t>
  </si>
  <si>
    <r>
      <t xml:space="preserve">ap </t>
    </r>
    <r>
      <rPr>
        <b/>
        <i/>
        <sz val="8"/>
        <rFont val="Arial"/>
        <family val="2"/>
      </rPr>
      <t>(a)</t>
    </r>
  </si>
  <si>
    <r>
      <t xml:space="preserve">Rp </t>
    </r>
    <r>
      <rPr>
        <b/>
        <i/>
        <sz val="8"/>
        <rFont val="Arial"/>
        <family val="2"/>
      </rPr>
      <t>(b)</t>
    </r>
  </si>
  <si>
    <t>Seismic Coefficients for Architectural Components</t>
  </si>
  <si>
    <r>
      <t xml:space="preserve">1. Interior Nonstructural Walls and Partitions </t>
    </r>
    <r>
      <rPr>
        <i/>
        <sz val="8"/>
        <rFont val="Arial"/>
        <family val="2"/>
      </rPr>
      <t>(b)</t>
    </r>
    <r>
      <rPr>
        <sz val="8"/>
        <rFont val="Arial"/>
        <family val="2"/>
      </rPr>
      <t xml:space="preserve">:                             </t>
    </r>
  </si>
  <si>
    <t>Architectural Component or Element</t>
  </si>
  <si>
    <r>
      <t>a</t>
    </r>
    <r>
      <rPr>
        <sz val="8"/>
        <color indexed="12"/>
        <rFont val="Arial"/>
        <family val="2"/>
      </rPr>
      <t>p</t>
    </r>
  </si>
  <si>
    <r>
      <t>R</t>
    </r>
    <r>
      <rPr>
        <sz val="8"/>
        <color indexed="12"/>
        <rFont val="Arial"/>
        <family val="2"/>
      </rPr>
      <t>p</t>
    </r>
  </si>
  <si>
    <t xml:space="preserve">a. Plain (unreinforced) masonry walls                     </t>
  </si>
  <si>
    <t>1a</t>
  </si>
  <si>
    <t>Interior nonstructural walls and partitions - plain (unreinforced) masonry walls</t>
  </si>
  <si>
    <t xml:space="preserve">b. Other walls and partitions                                 </t>
  </si>
  <si>
    <t>1b</t>
  </si>
  <si>
    <t>Interior nonstructural walls and partitions - all other walls and partitions</t>
  </si>
  <si>
    <t xml:space="preserve">2. Cantilever Elements (Unbraced or Braced Below Center of Mass):        </t>
  </si>
  <si>
    <t>2a</t>
  </si>
  <si>
    <t>Cantilever elements (unbraced or braced below center of mass) - parapets and cantilever interior nonstructural walls</t>
  </si>
  <si>
    <t xml:space="preserve">a. Parapets and cantilever interior nonstructural walls       </t>
  </si>
  <si>
    <t>2b</t>
  </si>
  <si>
    <t>Cantilever elements (unbraced or braced below center of mass) - chimneys and stacks where laterally braced or supported</t>
  </si>
  <si>
    <t xml:space="preserve">b. Chimneys and stacks when lat. braced or supported          </t>
  </si>
  <si>
    <t>3a</t>
  </si>
  <si>
    <t>Cantilever elements (braced to structural frame above center of mass) - parapets</t>
  </si>
  <si>
    <t xml:space="preserve">3. Cantilever Elements (Unbraced or Braced Above Center of Mass):        </t>
  </si>
  <si>
    <t>3b</t>
  </si>
  <si>
    <t>Cantilever elements (braced to structural frame above center of mass) - chimneys and stacks</t>
  </si>
  <si>
    <t xml:space="preserve">a. Parapets                                                            </t>
  </si>
  <si>
    <t>3c</t>
  </si>
  <si>
    <t>Cantilever elements (braced to structural frame above center of mass) - exterior nonstructural walls</t>
  </si>
  <si>
    <t xml:space="preserve">b. Chimneys and stacks                                                 </t>
  </si>
  <si>
    <t>Average Roof Height, h =</t>
  </si>
  <si>
    <t>4a</t>
  </si>
  <si>
    <t>Exterior nonstructural wall elements and connections - wall element</t>
  </si>
  <si>
    <r>
      <t xml:space="preserve">c. Exterior nonstructural walls </t>
    </r>
    <r>
      <rPr>
        <i/>
        <sz val="8"/>
        <rFont val="Arial"/>
        <family val="2"/>
      </rPr>
      <t>(b)</t>
    </r>
    <r>
      <rPr>
        <sz val="8"/>
        <rFont val="Arial"/>
        <family val="2"/>
      </rPr>
      <t xml:space="preserve">                             </t>
    </r>
  </si>
  <si>
    <r>
      <t xml:space="preserve">1.0 </t>
    </r>
    <r>
      <rPr>
        <i/>
        <sz val="8"/>
        <color indexed="12"/>
        <rFont val="Arial"/>
        <family val="2"/>
      </rPr>
      <t>(b)</t>
    </r>
  </si>
  <si>
    <t>Height of attachment, z =</t>
  </si>
  <si>
    <t>4b</t>
  </si>
  <si>
    <t>Exterior nonstructural wall elements and connections - body of wall panel connections</t>
  </si>
  <si>
    <r>
      <t xml:space="preserve">4. Exterior Nonstructural Wall Elements and Connections </t>
    </r>
    <r>
      <rPr>
        <i/>
        <sz val="8"/>
        <rFont val="Arial"/>
        <family val="2"/>
      </rPr>
      <t>(b)</t>
    </r>
    <r>
      <rPr>
        <sz val="8"/>
        <rFont val="Arial"/>
        <family val="2"/>
      </rPr>
      <t xml:space="preserve">:            </t>
    </r>
  </si>
  <si>
    <r>
      <t xml:space="preserve">Importance Factor, </t>
    </r>
    <r>
      <rPr>
        <sz val="10"/>
        <rFont val="Tahoma"/>
        <family val="2"/>
      </rPr>
      <t>I</t>
    </r>
    <r>
      <rPr>
        <sz val="8"/>
        <rFont val="Arial"/>
        <family val="2"/>
      </rPr>
      <t>p</t>
    </r>
    <r>
      <rPr>
        <sz val="10"/>
        <rFont val="Arial"/>
        <family val="2"/>
      </rPr>
      <t xml:space="preserve"> =</t>
    </r>
  </si>
  <si>
    <t>4c</t>
  </si>
  <si>
    <t>Exterior nonstructural wall elements and connections - fasteners of the connecting system</t>
  </si>
  <si>
    <t xml:space="preserve">a. Wall element                                                            </t>
  </si>
  <si>
    <r>
      <t>Component Weight, W</t>
    </r>
    <r>
      <rPr>
        <sz val="8"/>
        <rFont val="Arial"/>
        <family val="2"/>
      </rPr>
      <t>p</t>
    </r>
    <r>
      <rPr>
        <sz val="10"/>
        <rFont val="Arial"/>
        <family val="2"/>
      </rPr>
      <t xml:space="preserve"> =</t>
    </r>
  </si>
  <si>
    <t>5a</t>
  </si>
  <si>
    <t>Veneer - limited deformability elements and attachments</t>
  </si>
  <si>
    <t xml:space="preserve">b. Body of wall panel connections                                                 </t>
  </si>
  <si>
    <t>Component Type =</t>
  </si>
  <si>
    <t>5b</t>
  </si>
  <si>
    <t>Veneer - low deformability elements and attachments</t>
  </si>
  <si>
    <t xml:space="preserve">c. Fasteners of the connecting system                             </t>
  </si>
  <si>
    <t>6a</t>
  </si>
  <si>
    <t>Penthouses (except when framed by an extension of building frame)</t>
  </si>
  <si>
    <t xml:space="preserve">5. Veneer:                                                                                   </t>
  </si>
  <si>
    <t>Ceilings - all</t>
  </si>
  <si>
    <t xml:space="preserve">a. Limited deformability elements and attachments       </t>
  </si>
  <si>
    <t>8a</t>
  </si>
  <si>
    <t xml:space="preserve">b. Low deformability elements and attachments       </t>
  </si>
  <si>
    <t>9a</t>
  </si>
  <si>
    <t>Access floors - special access floors (designed per Section 13.5.7.2)</t>
  </si>
  <si>
    <t>6. Penthouses (Except when Framed by Extension of Building Frame)</t>
  </si>
  <si>
    <t>Access floors - all other</t>
  </si>
  <si>
    <t>7. Ceilings (All)</t>
  </si>
  <si>
    <t>Appendages and ornamentations</t>
  </si>
  <si>
    <t xml:space="preserve">8. Cabinets:                                                                                  </t>
  </si>
  <si>
    <t xml:space="preserve">a. Storage cabinets and laboratory equipment          </t>
  </si>
  <si>
    <t>Other rigid components - high deformability elements and attachments</t>
  </si>
  <si>
    <t>Other rigid components - limited deformability elements and attachments</t>
  </si>
  <si>
    <t>a. Special access floors (designed per Section 13.5.7.2)</t>
  </si>
  <si>
    <t xml:space="preserve">Other rigid components - low deformability elements and attachments   </t>
  </si>
  <si>
    <t xml:space="preserve">b. All other                                                           </t>
  </si>
  <si>
    <t>Other flexible components - high deformability elements and attachments</t>
  </si>
  <si>
    <t>Other flexible components - limited deformability elements and attachments</t>
  </si>
  <si>
    <t>13c</t>
  </si>
  <si>
    <t xml:space="preserve">Other flexible components - low deformability elements and attachments   </t>
  </si>
  <si>
    <t xml:space="preserve">a. High deformability elements and attachments       </t>
  </si>
  <si>
    <t xml:space="preserve">b. Limited deformability elements and attachments       </t>
  </si>
  <si>
    <t xml:space="preserve">c. Low deformability elements and attachments       </t>
  </si>
  <si>
    <t>Amplification Factor and Response Modification Coefficient:</t>
  </si>
  <si>
    <r>
      <t>Amplification Factor, a</t>
    </r>
    <r>
      <rPr>
        <sz val="8"/>
        <rFont val="Arial"/>
        <family val="2"/>
      </rPr>
      <t>p</t>
    </r>
    <r>
      <rPr>
        <sz val="10"/>
        <rFont val="Arial"/>
        <family val="2"/>
      </rPr>
      <t xml:space="preserve"> =</t>
    </r>
  </si>
  <si>
    <r>
      <t>Response Mod. Coef., R</t>
    </r>
    <r>
      <rPr>
        <sz val="8"/>
        <rFont val="Arial"/>
        <family val="2"/>
      </rPr>
      <t>p</t>
    </r>
    <r>
      <rPr>
        <sz val="10"/>
        <rFont val="Arial"/>
        <family val="2"/>
      </rPr>
      <t xml:space="preserve"> =</t>
    </r>
  </si>
  <si>
    <r>
      <t xml:space="preserve"> </t>
    </r>
    <r>
      <rPr>
        <i/>
        <sz val="8"/>
        <color indexed="8"/>
        <rFont val="Arial"/>
        <family val="2"/>
      </rPr>
      <t>(a)</t>
    </r>
    <r>
      <rPr>
        <sz val="8"/>
        <color indexed="8"/>
        <rFont val="Arial"/>
        <family val="2"/>
      </rPr>
      <t xml:space="preserve">  </t>
    </r>
  </si>
  <si>
    <t xml:space="preserve">A lower value for "ap" shall not be used unless justified by detailed dynamic analysis.  The value </t>
  </si>
  <si>
    <t xml:space="preserve">of "ap" shall not be less than 1.0.  The value of ap =1 is for rigid components and rigidly attached </t>
  </si>
  <si>
    <t>Component Horizontal Seismic Force:</t>
  </si>
  <si>
    <t xml:space="preserve">components.  The value of ap =2.5 is for flexible components and flexibly attached components.  </t>
  </si>
  <si>
    <r>
      <t>F</t>
    </r>
    <r>
      <rPr>
        <sz val="8"/>
        <rFont val="Arial"/>
        <family val="2"/>
      </rPr>
      <t>ph</t>
    </r>
    <r>
      <rPr>
        <sz val="10"/>
        <rFont val="Arial"/>
        <family val="2"/>
      </rPr>
      <t xml:space="preserve"> =</t>
    </r>
  </si>
  <si>
    <t>See Section 11.2 for definitions of rigid and flexible.</t>
  </si>
  <si>
    <r>
      <t>F</t>
    </r>
    <r>
      <rPr>
        <sz val="8"/>
        <rFont val="Arial"/>
        <family val="2"/>
      </rPr>
      <t>ph(max)</t>
    </r>
    <r>
      <rPr>
        <sz val="10"/>
        <rFont val="Arial"/>
        <family val="2"/>
      </rPr>
      <t xml:space="preserve"> =</t>
    </r>
  </si>
  <si>
    <r>
      <t xml:space="preserve"> </t>
    </r>
    <r>
      <rPr>
        <i/>
        <sz val="8"/>
        <color indexed="8"/>
        <rFont val="Arial"/>
        <family val="2"/>
      </rPr>
      <t>(b)</t>
    </r>
    <r>
      <rPr>
        <sz val="8"/>
        <color indexed="8"/>
        <rFont val="Arial"/>
        <family val="2"/>
      </rPr>
      <t xml:space="preserve">  </t>
    </r>
  </si>
  <si>
    <t xml:space="preserve">Where flexible diaphragms provide lateral support for concrete or mansonry walls and partitions, </t>
  </si>
  <si>
    <r>
      <t>F</t>
    </r>
    <r>
      <rPr>
        <sz val="8"/>
        <rFont val="Arial"/>
        <family val="2"/>
      </rPr>
      <t>ph(min)</t>
    </r>
    <r>
      <rPr>
        <sz val="10"/>
        <rFont val="Arial"/>
        <family val="2"/>
      </rPr>
      <t xml:space="preserve"> =</t>
    </r>
  </si>
  <si>
    <t>the design forces for anchorage to the diaphragm shall be as specified in Section 12.11.2.</t>
  </si>
  <si>
    <r>
      <t>Use: F</t>
    </r>
    <r>
      <rPr>
        <sz val="8"/>
        <rFont val="Arial"/>
        <family val="2"/>
      </rPr>
      <t>ph</t>
    </r>
    <r>
      <rPr>
        <sz val="10"/>
        <rFont val="Arial"/>
        <family val="2"/>
      </rPr>
      <t xml:space="preserve"> =</t>
    </r>
  </si>
  <si>
    <r>
      <t>lbs.</t>
    </r>
    <r>
      <rPr>
        <sz val="10"/>
        <rFont val="Arial"/>
        <family val="2"/>
      </rPr>
      <t xml:space="preserve">  </t>
    </r>
    <r>
      <rPr>
        <i/>
        <u/>
        <sz val="10"/>
        <color indexed="10"/>
        <rFont val="Arial"/>
        <family val="2"/>
      </rPr>
      <t>Note:</t>
    </r>
    <r>
      <rPr>
        <i/>
        <sz val="10"/>
        <color indexed="10"/>
        <rFont val="Arial"/>
        <family val="2"/>
      </rPr>
      <t xml:space="preserve"> Fph is to be applied independently in both transverse</t>
    </r>
  </si>
  <si>
    <t xml:space="preserve">                and longitudinal directions relative to seismic restraint.</t>
  </si>
  <si>
    <t>Component Vertical Seismic Force:</t>
  </si>
  <si>
    <r>
      <t>F</t>
    </r>
    <r>
      <rPr>
        <sz val="8"/>
        <color indexed="8"/>
        <rFont val="Arial"/>
        <family val="2"/>
      </rPr>
      <t>pv</t>
    </r>
    <r>
      <rPr>
        <sz val="10"/>
        <color indexed="8"/>
        <rFont val="Arial"/>
        <family val="2"/>
      </rPr>
      <t xml:space="preserve"> =</t>
    </r>
  </si>
  <si>
    <t>ASCE 7-05 - TABLE 13.6-1</t>
  </si>
  <si>
    <t>SEISMIC COEFFICIENTS FOR MECHANICAL AND ELECTRICAL COMPONENTS COEFFICIENTS</t>
  </si>
  <si>
    <t xml:space="preserve">For Mechanical and Electrical Components </t>
  </si>
  <si>
    <t>1.</t>
  </si>
  <si>
    <t>Mechanical and Electrical Components</t>
  </si>
  <si>
    <t>Seismic Coefficients for Mechanical and Electrical Components</t>
  </si>
  <si>
    <t>a.</t>
  </si>
  <si>
    <t>Air-side HVAC, fans, air handlers, AC units, cabinet heaters, air distribution boxes, and other mech. comp. constructed of sheet metal framing</t>
  </si>
  <si>
    <t>b.</t>
  </si>
  <si>
    <t>Wet-side HVAC, boilers, furnaces, atmospheric tanks and bins, chillers, water heaters, heat exchangers, evaporators, air separators, manufacturing or process equipment, and other mechanical components constructed of high-deformability materials</t>
  </si>
  <si>
    <t>1c</t>
  </si>
  <si>
    <t>Engines , turbines, pumps, compressors, and pressure vessels not supported on skirts and not within the scope of Chapter 15 (Nonbuilding structures)</t>
  </si>
  <si>
    <t>1d</t>
  </si>
  <si>
    <t>Skirt-supported pressure vessels not within the scope of Chapter 15 (Nonbuilding structures)</t>
  </si>
  <si>
    <t>c.</t>
  </si>
  <si>
    <t>1e</t>
  </si>
  <si>
    <t>Elevator and escalator components</t>
  </si>
  <si>
    <t>1f</t>
  </si>
  <si>
    <t>Generators, batteries, inverters, motors, transformers, and other electrical components constructed of high-deformability materials</t>
  </si>
  <si>
    <t>d.</t>
  </si>
  <si>
    <t>1g</t>
  </si>
  <si>
    <t>Motor control centers, panel boards, switch gear, instrumentation cabinets, and other components constructed of sheet metal framing</t>
  </si>
  <si>
    <t>e.</t>
  </si>
  <si>
    <t>1h</t>
  </si>
  <si>
    <t>Communication equipment, computers, instrumentation, and controls</t>
  </si>
  <si>
    <t>f.</t>
  </si>
  <si>
    <t>1i</t>
  </si>
  <si>
    <t>Roof-mounted chimneys, stacks, cooling and electrical towers laterally braced below their center of mass</t>
  </si>
  <si>
    <t>1j</t>
  </si>
  <si>
    <t>Roof-mounted chimneys, stacks, cooling and electrical towers laterally braced above their center of mass</t>
  </si>
  <si>
    <t>g.</t>
  </si>
  <si>
    <t>1k</t>
  </si>
  <si>
    <t>Lighting fixtures</t>
  </si>
  <si>
    <t>1l</t>
  </si>
  <si>
    <t>Other mechanical or electrical components</t>
  </si>
  <si>
    <t>h.</t>
  </si>
  <si>
    <t>2.</t>
  </si>
  <si>
    <t>Vibration Isolated Components and Systems</t>
  </si>
  <si>
    <t>i.</t>
  </si>
  <si>
    <t>Components and systems isolated using neoprene elements and neoprene isolated floors with built-in or separate elastomeric snubbing devices or resilient perimeter stops</t>
  </si>
  <si>
    <t>j.</t>
  </si>
  <si>
    <t>Spring isolated components and systems and vibration isolated floors closely restrained using built-in or separate elastomeric snubbing devices or resilient perimeter stops</t>
  </si>
  <si>
    <t>k.</t>
  </si>
  <si>
    <t>2c</t>
  </si>
  <si>
    <t>Internally isolated components and systems</t>
  </si>
  <si>
    <t>l.</t>
  </si>
  <si>
    <t>2d</t>
  </si>
  <si>
    <t>Suspended vibration isolated equipment including in-line duct devices and suspended internally isolated components</t>
  </si>
  <si>
    <t>3.</t>
  </si>
  <si>
    <t>Distribution Systems</t>
  </si>
  <si>
    <t>Piping in accordance with ASME B31, including in-line components with joints made by welding or brazing</t>
  </si>
  <si>
    <t>Piping in accordance with ASME B31, including in-line components, constructed of high- or limited deformability materials, with joints made by threading, bonding, compression couplings, or grooved couplings</t>
  </si>
  <si>
    <t>Piping and tubing not in accordance with ASME B31, including in-line components, constructed of high deformability materials, with joints made by welding or brazing</t>
  </si>
  <si>
    <t>3d</t>
  </si>
  <si>
    <t>Piping and tubing not in accordance with ASME B31, including in-line components, constructed of high- or limited deformability materials, with joints made by threading, bonding, compression couplings, or grooved couplings</t>
  </si>
  <si>
    <t>3e</t>
  </si>
  <si>
    <t>Piping and tubing constructured of low-deformability materials, such as cast iron, glass, and nonductile plastics</t>
  </si>
  <si>
    <t>3f</t>
  </si>
  <si>
    <t>Ductwork, including in-line components, constructued of high-deformability materials, with joints made by welding or brazing</t>
  </si>
  <si>
    <t>3g</t>
  </si>
  <si>
    <t>Ductwork, including in-line components, constructued of high- or limited-deformability materials, with joints made by means other than welding or brazing</t>
  </si>
  <si>
    <t>3h</t>
  </si>
  <si>
    <t>Ductwork, including in-line components, constructued of low-deformability materials, such as cast iron, glass, and nonductile plastics</t>
  </si>
  <si>
    <t>3i</t>
  </si>
  <si>
    <t>Electrical conduit, bus ducts, rigidly mounted cable trays, and plumbing</t>
  </si>
  <si>
    <t>3j</t>
  </si>
  <si>
    <t>Manufacturing or process conveyors (nonpersonnel)</t>
  </si>
  <si>
    <t>3k</t>
  </si>
  <si>
    <t>Suspended cable trays</t>
  </si>
  <si>
    <t xml:space="preserve">A lower value for "ap" shall not be used unless justified by detailed dynamic analysis.  The value of "ap" shall not be less than 1.0.  </t>
  </si>
  <si>
    <t xml:space="preserve">The value of ap =1 is for rigid components and rigidly attached components.  The value of ap =2.5 is for flexible components and </t>
  </si>
  <si>
    <t xml:space="preserve">flexibly attached components.  </t>
  </si>
  <si>
    <t xml:space="preserve">Components mounted on vibration isolators shall have a bumper restraint or snubber in each horizontal direction.  The design force </t>
  </si>
  <si>
    <t xml:space="preserve">shall be taken as "2*Fp" if the nominal clearance (air gap) between the equipment support frame and restraint is &gt; 1/4".  </t>
  </si>
  <si>
    <t>If the nominal clearance specified on the construction documents is not &gt; 1/4", the design force is permitted to be taken as "Fp".</t>
  </si>
  <si>
    <t>IBC 2012, Table 1604.5</t>
  </si>
  <si>
    <t>IBC 2012 Table 1613.5.2</t>
  </si>
  <si>
    <t>ASCE 7-10 Figures 22-1 to 22-6</t>
  </si>
  <si>
    <t>ASCE 7-10 Figures 22-2 to 22-6</t>
  </si>
  <si>
    <t>ASCE 7-10 Section 13.1.3, page 113</t>
  </si>
  <si>
    <r>
      <t>lbs.</t>
    </r>
    <r>
      <rPr>
        <sz val="10"/>
        <color indexed="8"/>
        <rFont val="Arial"/>
        <family val="2"/>
      </rPr>
      <t>,  ASCE 7-10 Section 13.3.1, page 113</t>
    </r>
  </si>
  <si>
    <t>IBC 2012 Table 1613.3.3(1)</t>
  </si>
  <si>
    <r>
      <t>IBC 2012 Table 1613.3.3(</t>
    </r>
    <r>
      <rPr>
        <sz val="9"/>
        <rFont val="Arial"/>
        <family val="2"/>
      </rPr>
      <t>2)</t>
    </r>
  </si>
  <si>
    <r>
      <t>S</t>
    </r>
    <r>
      <rPr>
        <sz val="8"/>
        <rFont val="Arial"/>
        <family val="2"/>
      </rPr>
      <t>MS</t>
    </r>
    <r>
      <rPr>
        <sz val="10"/>
        <rFont val="Arial"/>
        <family val="2"/>
      </rPr>
      <t xml:space="preserve"> = F</t>
    </r>
    <r>
      <rPr>
        <sz val="8"/>
        <rFont val="Arial"/>
        <family val="2"/>
      </rPr>
      <t>a</t>
    </r>
    <r>
      <rPr>
        <sz val="10"/>
        <rFont val="Arial"/>
        <family val="2"/>
      </rPr>
      <t>*S</t>
    </r>
    <r>
      <rPr>
        <sz val="8"/>
        <rFont val="Arial"/>
        <family val="2"/>
      </rPr>
      <t>S</t>
    </r>
    <r>
      <rPr>
        <sz val="10"/>
        <rFont val="Arial"/>
        <family val="2"/>
      </rPr>
      <t>,  IBC 2012 Eqn. 16-37</t>
    </r>
  </si>
  <si>
    <r>
      <t>S</t>
    </r>
    <r>
      <rPr>
        <sz val="8"/>
        <rFont val="Arial"/>
        <family val="2"/>
      </rPr>
      <t>M1</t>
    </r>
    <r>
      <rPr>
        <sz val="10"/>
        <rFont val="Arial"/>
        <family val="2"/>
      </rPr>
      <t xml:space="preserve"> = F</t>
    </r>
    <r>
      <rPr>
        <sz val="8"/>
        <rFont val="Arial"/>
        <family val="2"/>
      </rPr>
      <t>v</t>
    </r>
    <r>
      <rPr>
        <sz val="10"/>
        <rFont val="Arial"/>
        <family val="2"/>
      </rPr>
      <t>*S</t>
    </r>
    <r>
      <rPr>
        <sz val="8"/>
        <rFont val="Arial"/>
        <family val="2"/>
      </rPr>
      <t>1</t>
    </r>
    <r>
      <rPr>
        <sz val="10"/>
        <rFont val="Arial"/>
        <family val="2"/>
      </rPr>
      <t>,  IBC 2012 Eqn. 16-38</t>
    </r>
  </si>
  <si>
    <r>
      <t>S</t>
    </r>
    <r>
      <rPr>
        <sz val="8"/>
        <rFont val="Arial"/>
        <family val="2"/>
      </rPr>
      <t>DS</t>
    </r>
    <r>
      <rPr>
        <sz val="10"/>
        <rFont val="Arial"/>
        <family val="2"/>
      </rPr>
      <t xml:space="preserve"> = 2*S</t>
    </r>
    <r>
      <rPr>
        <sz val="8"/>
        <rFont val="Arial"/>
        <family val="2"/>
      </rPr>
      <t>MS</t>
    </r>
    <r>
      <rPr>
        <sz val="10"/>
        <rFont val="Arial"/>
        <family val="2"/>
      </rPr>
      <t>/3,  IBC 2012 Eqn. 16-39</t>
    </r>
  </si>
  <si>
    <r>
      <t>S</t>
    </r>
    <r>
      <rPr>
        <sz val="8"/>
        <rFont val="Arial"/>
        <family val="2"/>
      </rPr>
      <t>D1</t>
    </r>
    <r>
      <rPr>
        <sz val="10"/>
        <rFont val="Arial"/>
        <family val="2"/>
      </rPr>
      <t xml:space="preserve"> = 2*S</t>
    </r>
    <r>
      <rPr>
        <sz val="8"/>
        <rFont val="Arial"/>
        <family val="2"/>
      </rPr>
      <t>M1</t>
    </r>
    <r>
      <rPr>
        <sz val="10"/>
        <rFont val="Arial"/>
        <family val="2"/>
      </rPr>
      <t>/3,  IBC 2012 Eqn. 16-40</t>
    </r>
  </si>
  <si>
    <r>
      <t>IBC 2012 Table 1613.3.5(1</t>
    </r>
    <r>
      <rPr>
        <sz val="10"/>
        <rFont val="Arial"/>
        <family val="2"/>
      </rPr>
      <t>)</t>
    </r>
  </si>
  <si>
    <r>
      <t>IBC 2012 Table 1613.3.5</t>
    </r>
    <r>
      <rPr>
        <sz val="10"/>
        <rFont val="Arial"/>
        <family val="2"/>
      </rPr>
      <t>(2)</t>
    </r>
  </si>
  <si>
    <t>ASCE 7-10 Table 13.5-1, page 146</t>
  </si>
  <si>
    <r>
      <t>lbs.</t>
    </r>
    <r>
      <rPr>
        <sz val="10"/>
        <rFont val="Arial"/>
        <family val="2"/>
      </rPr>
      <t>, F</t>
    </r>
    <r>
      <rPr>
        <sz val="8"/>
        <rFont val="Arial"/>
        <family val="2"/>
      </rPr>
      <t>ph</t>
    </r>
    <r>
      <rPr>
        <sz val="10"/>
        <rFont val="Arial"/>
        <family val="2"/>
      </rPr>
      <t xml:space="preserve"> = (0.4*a</t>
    </r>
    <r>
      <rPr>
        <sz val="8"/>
        <rFont val="Arial"/>
        <family val="2"/>
      </rPr>
      <t>p</t>
    </r>
    <r>
      <rPr>
        <sz val="10"/>
        <rFont val="Arial"/>
        <family val="2"/>
      </rPr>
      <t>*S</t>
    </r>
    <r>
      <rPr>
        <sz val="8"/>
        <rFont val="Arial"/>
        <family val="2"/>
      </rPr>
      <t>DS</t>
    </r>
    <r>
      <rPr>
        <sz val="10"/>
        <rFont val="Arial"/>
        <family val="2"/>
      </rPr>
      <t>*W</t>
    </r>
    <r>
      <rPr>
        <sz val="8"/>
        <rFont val="Arial"/>
        <family val="2"/>
      </rPr>
      <t>p</t>
    </r>
    <r>
      <rPr>
        <sz val="10"/>
        <rFont val="Arial"/>
        <family val="2"/>
      </rPr>
      <t>)*(1+2*z/h)/(R</t>
    </r>
    <r>
      <rPr>
        <sz val="8"/>
        <rFont val="Arial"/>
        <family val="2"/>
      </rPr>
      <t>p</t>
    </r>
    <r>
      <rPr>
        <sz val="10"/>
        <rFont val="Arial"/>
        <family val="2"/>
      </rPr>
      <t>/</t>
    </r>
    <r>
      <rPr>
        <sz val="10"/>
        <rFont val="Tahoma"/>
        <family val="2"/>
      </rPr>
      <t>I</t>
    </r>
    <r>
      <rPr>
        <sz val="8"/>
        <rFont val="Arial"/>
        <family val="2"/>
      </rPr>
      <t>p</t>
    </r>
    <r>
      <rPr>
        <sz val="10"/>
        <rFont val="Arial"/>
        <family val="2"/>
      </rPr>
      <t>), Eqn. 13.3-1, page 113</t>
    </r>
  </si>
  <si>
    <r>
      <t>lbs.</t>
    </r>
    <r>
      <rPr>
        <sz val="10"/>
        <rFont val="Arial"/>
        <family val="2"/>
      </rPr>
      <t>, F</t>
    </r>
    <r>
      <rPr>
        <sz val="8"/>
        <rFont val="Arial"/>
        <family val="2"/>
      </rPr>
      <t>ph</t>
    </r>
    <r>
      <rPr>
        <sz val="10"/>
        <rFont val="Arial"/>
        <family val="2"/>
      </rPr>
      <t xml:space="preserve"> = 1.6*S</t>
    </r>
    <r>
      <rPr>
        <sz val="8"/>
        <rFont val="Arial"/>
        <family val="2"/>
      </rPr>
      <t>DS</t>
    </r>
    <r>
      <rPr>
        <sz val="10"/>
        <rFont val="Arial"/>
        <family val="2"/>
      </rPr>
      <t>*</t>
    </r>
    <r>
      <rPr>
        <sz val="10"/>
        <rFont val="Tahoma"/>
        <family val="2"/>
      </rPr>
      <t>I</t>
    </r>
    <r>
      <rPr>
        <sz val="8"/>
        <rFont val="Arial"/>
        <family val="2"/>
      </rPr>
      <t>p</t>
    </r>
    <r>
      <rPr>
        <sz val="10"/>
        <rFont val="Arial"/>
        <family val="2"/>
      </rPr>
      <t>*W</t>
    </r>
    <r>
      <rPr>
        <sz val="8"/>
        <rFont val="Arial"/>
        <family val="2"/>
      </rPr>
      <t>p</t>
    </r>
    <r>
      <rPr>
        <sz val="10"/>
        <rFont val="Arial"/>
        <family val="2"/>
      </rPr>
      <t>,  ASCE 7-10 Eqn. 13.3-2, page 113</t>
    </r>
  </si>
  <si>
    <r>
      <t>lbs.</t>
    </r>
    <r>
      <rPr>
        <sz val="10"/>
        <rFont val="Arial"/>
        <family val="2"/>
      </rPr>
      <t>, F</t>
    </r>
    <r>
      <rPr>
        <sz val="8"/>
        <rFont val="Arial"/>
        <family val="2"/>
      </rPr>
      <t>ph</t>
    </r>
    <r>
      <rPr>
        <sz val="10"/>
        <rFont val="Arial"/>
        <family val="2"/>
      </rPr>
      <t xml:space="preserve"> = 0.3*S</t>
    </r>
    <r>
      <rPr>
        <sz val="8"/>
        <rFont val="Arial"/>
        <family val="2"/>
      </rPr>
      <t>DS</t>
    </r>
    <r>
      <rPr>
        <sz val="10"/>
        <rFont val="Arial"/>
        <family val="2"/>
      </rPr>
      <t>*</t>
    </r>
    <r>
      <rPr>
        <sz val="10"/>
        <rFont val="Tahoma"/>
        <family val="2"/>
      </rPr>
      <t>I</t>
    </r>
    <r>
      <rPr>
        <sz val="8"/>
        <rFont val="Arial"/>
        <family val="2"/>
      </rPr>
      <t>p</t>
    </r>
    <r>
      <rPr>
        <sz val="10"/>
        <rFont val="Arial"/>
        <family val="2"/>
      </rPr>
      <t>*W</t>
    </r>
    <r>
      <rPr>
        <sz val="8"/>
        <rFont val="Arial"/>
        <family val="2"/>
      </rPr>
      <t>p</t>
    </r>
    <r>
      <rPr>
        <sz val="10"/>
        <rFont val="Arial"/>
        <family val="2"/>
      </rPr>
      <t>,  ASCE 7-10 Eqn. 13.3-3, page 113</t>
    </r>
  </si>
  <si>
    <r>
      <t>lbs.</t>
    </r>
    <r>
      <rPr>
        <sz val="10"/>
        <color indexed="8"/>
        <rFont val="Arial"/>
        <family val="2"/>
      </rPr>
      <t>, F</t>
    </r>
    <r>
      <rPr>
        <sz val="8"/>
        <color indexed="8"/>
        <rFont val="Arial"/>
        <family val="2"/>
      </rPr>
      <t>pv</t>
    </r>
    <r>
      <rPr>
        <sz val="10"/>
        <color indexed="8"/>
        <rFont val="Arial"/>
        <family val="2"/>
      </rPr>
      <t xml:space="preserve"> = 0.2*S</t>
    </r>
    <r>
      <rPr>
        <sz val="8"/>
        <color indexed="8"/>
        <rFont val="Arial"/>
        <family val="2"/>
      </rPr>
      <t>DS</t>
    </r>
    <r>
      <rPr>
        <sz val="10"/>
        <color indexed="8"/>
        <rFont val="Arial"/>
        <family val="2"/>
      </rPr>
      <t>*W</t>
    </r>
    <r>
      <rPr>
        <sz val="8"/>
        <color indexed="8"/>
        <rFont val="Arial"/>
        <family val="2"/>
      </rPr>
      <t>p</t>
    </r>
    <r>
      <rPr>
        <sz val="10"/>
        <color indexed="8"/>
        <rFont val="Arial"/>
        <family val="2"/>
      </rPr>
      <t>,  ASCE 7-10 Eqn. 12.4-4, page 86</t>
    </r>
  </si>
  <si>
    <t>IBC 2012, Table 1604.5, page 307</t>
  </si>
  <si>
    <r>
      <t>IBC 2012 Table 1613.3.3(1) - Values of Site Coeficient, 'F</t>
    </r>
    <r>
      <rPr>
        <sz val="8"/>
        <color indexed="12"/>
        <rFont val="Arial"/>
        <family val="2"/>
      </rPr>
      <t>a</t>
    </r>
    <r>
      <rPr>
        <sz val="9"/>
        <color indexed="12"/>
        <rFont val="Arial"/>
        <family val="2"/>
      </rPr>
      <t>'</t>
    </r>
    <r>
      <rPr>
        <sz val="10"/>
        <color indexed="12"/>
        <rFont val="Arial"/>
        <family val="2"/>
      </rPr>
      <t>, as a Function of Site Class</t>
    </r>
  </si>
  <si>
    <r>
      <t>IBC 2012 Table 1613.3.3(2) - Values of Site Coeficient, 'F</t>
    </r>
    <r>
      <rPr>
        <sz val="8"/>
        <color indexed="12"/>
        <rFont val="Arial"/>
        <family val="2"/>
      </rPr>
      <t>v</t>
    </r>
    <r>
      <rPr>
        <sz val="9"/>
        <color indexed="12"/>
        <rFont val="Arial"/>
        <family val="2"/>
      </rPr>
      <t>'</t>
    </r>
    <r>
      <rPr>
        <sz val="10"/>
        <color indexed="12"/>
        <rFont val="Arial"/>
        <family val="2"/>
      </rPr>
      <t>, as a Function of Site Class</t>
    </r>
  </si>
  <si>
    <t>IBC 2012 Table 1613.3.5(1) - Seismic Design Category</t>
  </si>
  <si>
    <t>IBC 2012 Table 1613.3.5(2) - Seismic Design Category</t>
  </si>
  <si>
    <t>8b</t>
  </si>
  <si>
    <t>Cabinets - Permanent floor-supported storage cabinets over 6 ft tall, including contents</t>
  </si>
  <si>
    <t>Cabinets - Permanent floor-supported library shelving, book stacks and bookshelves over 6 ft tall, including contents</t>
  </si>
  <si>
    <t>Laboratory Equipment</t>
  </si>
  <si>
    <t>10b</t>
  </si>
  <si>
    <t>Egress stairways not part of the building structure</t>
  </si>
  <si>
    <t>ASCE 7-10 - TABLE 13.5-1</t>
  </si>
  <si>
    <t>9. Laboratory Equipment</t>
  </si>
  <si>
    <t xml:space="preserve">10. Access Floors:                                                                           </t>
  </si>
  <si>
    <t>11. Appendages and Ornamentations</t>
  </si>
  <si>
    <t>12. Signs and Billboards</t>
  </si>
  <si>
    <t xml:space="preserve">13. Other Rigid Components:                                                        </t>
  </si>
  <si>
    <t xml:space="preserve">14. Other Flexible Components:                                                        </t>
  </si>
  <si>
    <t>15. Egress stairways not part of the building structure</t>
  </si>
  <si>
    <r>
      <t>IBC 2012 TABLE 1613.3.3(1) - Values of Site Coeficient, 'F</t>
    </r>
    <r>
      <rPr>
        <sz val="8"/>
        <color indexed="12"/>
        <rFont val="Arial"/>
        <family val="2"/>
      </rPr>
      <t>a</t>
    </r>
    <r>
      <rPr>
        <sz val="9"/>
        <color indexed="12"/>
        <rFont val="Arial"/>
        <family val="2"/>
      </rPr>
      <t>'</t>
    </r>
    <r>
      <rPr>
        <sz val="10"/>
        <color indexed="12"/>
        <rFont val="Arial"/>
        <family val="2"/>
      </rPr>
      <t>, as a Function of Site Class</t>
    </r>
  </si>
  <si>
    <r>
      <t>IBC 2012 TABLE 1613.3.3(2) - Values of Site Coeficient, 'F</t>
    </r>
    <r>
      <rPr>
        <sz val="8"/>
        <color indexed="12"/>
        <rFont val="Arial"/>
        <family val="2"/>
      </rPr>
      <t>v</t>
    </r>
    <r>
      <rPr>
        <sz val="9"/>
        <color indexed="12"/>
        <rFont val="Arial"/>
        <family val="2"/>
      </rPr>
      <t>'</t>
    </r>
    <r>
      <rPr>
        <sz val="10"/>
        <color indexed="12"/>
        <rFont val="Arial"/>
        <family val="2"/>
      </rPr>
      <t>, as a Function of Site Class</t>
    </r>
  </si>
  <si>
    <t>Vert. Tank or Vessel</t>
  </si>
  <si>
    <t>Single-Level Bldg.</t>
  </si>
  <si>
    <t>Seismic base shear for single-level buildings</t>
  </si>
  <si>
    <t>Seismic base shear and overturning moment for vertical tanks/vessels</t>
  </si>
  <si>
    <t>Nonbldg. Struct.</t>
  </si>
  <si>
    <t>Seismic base shear for nonbuilding structures</t>
  </si>
  <si>
    <t>Arch. Components</t>
  </si>
  <si>
    <t>Seismic forces for architectural components</t>
  </si>
  <si>
    <t>M &amp; E Components</t>
  </si>
  <si>
    <t>Seismic forces for mechanical and electrical components</t>
  </si>
  <si>
    <t>ASCE 7-05 Maps for TL</t>
  </si>
  <si>
    <t>ASCE 7-05 Code maps for Long-Period Transition Period</t>
  </si>
  <si>
    <t>15.  In the calculation worksheets, a "hyperlink" is provided to take the user directly to the USGS website at:</t>
  </si>
  <si>
    <t>ASCE 7-10 - TABLE 15.4-1</t>
  </si>
  <si>
    <t>ASCE 7-10 - TABLE 15.4-2</t>
  </si>
  <si>
    <t>ASCE 7-10 Table 15.4-2, page 142 &amp; 143</t>
  </si>
  <si>
    <t>Seismic Base Shear:  (using ASCE 7-10 procedure "a" or "c", page 152)</t>
  </si>
  <si>
    <t>Seismic Shear Vertical Distribution:  (using ASCE 7-10 procedure "a" or "c", page 152)</t>
  </si>
  <si>
    <t>Overturning Moment at Base:  (using ASCE 7-10 procedure "a" or "c", page 152)</t>
  </si>
  <si>
    <t>Seismic Base Shear (including sloshing):  (using ASCE 7-10 Section 15.7.6 and API 650 Appendix E)</t>
  </si>
  <si>
    <r>
      <t>kips</t>
    </r>
    <r>
      <rPr>
        <sz val="10"/>
        <color indexed="8"/>
        <rFont val="Arial"/>
        <family val="2"/>
      </rPr>
      <t xml:space="preserve">  ASCE 7-10 Section 15.4.3</t>
    </r>
  </si>
  <si>
    <r>
      <t>C</t>
    </r>
    <r>
      <rPr>
        <sz val="8"/>
        <color indexed="8"/>
        <rFont val="Arial"/>
        <family val="2"/>
      </rPr>
      <t>S</t>
    </r>
    <r>
      <rPr>
        <sz val="10"/>
        <color indexed="8"/>
        <rFont val="Arial"/>
        <family val="2"/>
      </rPr>
      <t xml:space="preserve"> = S</t>
    </r>
    <r>
      <rPr>
        <sz val="8"/>
        <color indexed="8"/>
        <rFont val="Arial"/>
        <family val="2"/>
      </rPr>
      <t>DS</t>
    </r>
    <r>
      <rPr>
        <sz val="10"/>
        <color indexed="8"/>
        <rFont val="Arial"/>
        <family val="2"/>
      </rPr>
      <t>/(R/</t>
    </r>
    <r>
      <rPr>
        <sz val="10"/>
        <color indexed="8"/>
        <rFont val="Tahoma"/>
        <family val="2"/>
      </rPr>
      <t>I</t>
    </r>
    <r>
      <rPr>
        <sz val="10"/>
        <color indexed="8"/>
        <rFont val="Arial"/>
        <family val="2"/>
      </rPr>
      <t>), ASCE 7-10 Section 12.8.1.1, Eqn. 12.8-2</t>
    </r>
  </si>
  <si>
    <t>For T&lt;=TL, CS(max) = SD1/(T*(R/I)), ASCE 7-10 Eqn. 12.8-3</t>
  </si>
  <si>
    <t>Cs(min) = 0.044*SDS*I &gt;= 0.03, ASCE 7-10 Eqn. 15.4-1</t>
  </si>
  <si>
    <r>
      <t>C</t>
    </r>
    <r>
      <rPr>
        <sz val="8"/>
        <color indexed="8"/>
        <rFont val="Arial"/>
        <family val="2"/>
      </rPr>
      <t>vx</t>
    </r>
    <r>
      <rPr>
        <sz val="10"/>
        <color indexed="8"/>
        <rFont val="Arial"/>
        <family val="2"/>
      </rPr>
      <t xml:space="preserve"> = W</t>
    </r>
    <r>
      <rPr>
        <sz val="8"/>
        <color indexed="8"/>
        <rFont val="Arial"/>
        <family val="2"/>
      </rPr>
      <t>x</t>
    </r>
    <r>
      <rPr>
        <sz val="10"/>
        <color indexed="8"/>
        <rFont val="Arial"/>
        <family val="2"/>
      </rPr>
      <t>*h</t>
    </r>
    <r>
      <rPr>
        <sz val="8"/>
        <color indexed="8"/>
        <rFont val="Arial"/>
        <family val="2"/>
      </rPr>
      <t>x^k</t>
    </r>
    <r>
      <rPr>
        <sz val="10"/>
        <color indexed="8"/>
        <rFont val="Arial"/>
        <family val="2"/>
      </rPr>
      <t>/(</t>
    </r>
    <r>
      <rPr>
        <sz val="10"/>
        <color indexed="8"/>
        <rFont val="Symbol"/>
        <family val="1"/>
        <charset val="2"/>
      </rPr>
      <t>S</t>
    </r>
    <r>
      <rPr>
        <sz val="10"/>
        <color indexed="8"/>
        <rFont val="Arial"/>
        <family val="2"/>
      </rPr>
      <t>W</t>
    </r>
    <r>
      <rPr>
        <sz val="8"/>
        <color indexed="8"/>
        <rFont val="Arial"/>
        <family val="2"/>
      </rPr>
      <t>i</t>
    </r>
    <r>
      <rPr>
        <sz val="10"/>
        <color indexed="8"/>
        <rFont val="Arial"/>
        <family val="2"/>
      </rPr>
      <t>*h</t>
    </r>
    <r>
      <rPr>
        <sz val="8"/>
        <color indexed="8"/>
        <rFont val="Arial"/>
        <family val="2"/>
      </rPr>
      <t>i^k</t>
    </r>
    <r>
      <rPr>
        <sz val="10"/>
        <color indexed="8"/>
        <rFont val="Arial"/>
        <family val="2"/>
      </rPr>
      <t>) = 1.0,  ASCE 7-10 Eqn. 12.8-12, page 91</t>
    </r>
  </si>
  <si>
    <r>
      <t>kips</t>
    </r>
    <r>
      <rPr>
        <sz val="10"/>
        <color indexed="8"/>
        <rFont val="Arial"/>
        <family val="2"/>
      </rPr>
      <t>,  F = C</t>
    </r>
    <r>
      <rPr>
        <sz val="8"/>
        <color indexed="8"/>
        <rFont val="Arial"/>
        <family val="2"/>
      </rPr>
      <t>vx</t>
    </r>
    <r>
      <rPr>
        <sz val="10"/>
        <color indexed="8"/>
        <rFont val="Arial"/>
        <family val="2"/>
      </rPr>
      <t>*V,  ASCE 7-10 Section 12.8.3, Eqn. 12.8-11, page 91</t>
    </r>
  </si>
  <si>
    <t>Per IBC 2012, ASCE 7-10 and API 350 App. E ('07) Specifications</t>
  </si>
  <si>
    <t>ASCE 7-10 TABLE 11.4-1 - Values of Site Coeficient, 'Fa', as a Function of Site Class</t>
  </si>
  <si>
    <r>
      <t>sec.</t>
    </r>
    <r>
      <rPr>
        <sz val="10"/>
        <color indexed="8"/>
        <rFont val="Arial"/>
        <family val="2"/>
      </rPr>
      <t>, T</t>
    </r>
    <r>
      <rPr>
        <sz val="8"/>
        <color indexed="8"/>
        <rFont val="Arial"/>
        <family val="2"/>
      </rPr>
      <t>s</t>
    </r>
    <r>
      <rPr>
        <sz val="10"/>
        <color indexed="8"/>
        <rFont val="Arial"/>
        <family val="2"/>
      </rPr>
      <t xml:space="preserve"> = S</t>
    </r>
    <r>
      <rPr>
        <sz val="8"/>
        <color indexed="8"/>
        <rFont val="Arial"/>
        <family val="2"/>
      </rPr>
      <t>D1</t>
    </r>
    <r>
      <rPr>
        <sz val="10"/>
        <color indexed="8"/>
        <rFont val="Arial"/>
        <family val="2"/>
      </rPr>
      <t>/S</t>
    </r>
    <r>
      <rPr>
        <sz val="8"/>
        <color indexed="8"/>
        <rFont val="Arial"/>
        <family val="2"/>
      </rPr>
      <t>DS</t>
    </r>
    <r>
      <rPr>
        <sz val="10"/>
        <color indexed="8"/>
        <rFont val="Arial"/>
        <family val="2"/>
      </rPr>
      <t>,  ASCE 7-10 page 64</t>
    </r>
  </si>
  <si>
    <r>
      <t>kips</t>
    </r>
    <r>
      <rPr>
        <sz val="10"/>
        <color indexed="8"/>
        <rFont val="Arial"/>
        <family val="2"/>
      </rPr>
      <t>, V</t>
    </r>
    <r>
      <rPr>
        <sz val="8"/>
        <color indexed="8"/>
        <rFont val="Arial"/>
        <family val="2"/>
      </rPr>
      <t>i</t>
    </r>
    <r>
      <rPr>
        <sz val="10"/>
        <color indexed="8"/>
        <rFont val="Arial"/>
        <family val="2"/>
      </rPr>
      <t xml:space="preserve"> = C1*(Wr+Ws+Wb+Wi),  ASCE 7-10 Eqn. 15.7-5</t>
    </r>
  </si>
  <si>
    <t>Sai = SDS, for Ti &lt;= Ts,  ASCE 7-10 Eqn. 15.7-7</t>
  </si>
  <si>
    <r>
      <t>kips</t>
    </r>
    <r>
      <rPr>
        <sz val="10"/>
        <color indexed="8"/>
        <rFont val="Arial"/>
        <family val="2"/>
      </rPr>
      <t>, Vc = C2*Wc,  ASCE 7-10 Eqn. 15.7-6</t>
    </r>
  </si>
  <si>
    <t>Overturning Moment at Fdn. (including sloshing):  (using ASCE 7-10 Sect. 15.7.6 and API 650 App. E)</t>
  </si>
  <si>
    <r>
      <t>C</t>
    </r>
    <r>
      <rPr>
        <sz val="8"/>
        <color indexed="8"/>
        <rFont val="Arial"/>
        <family val="2"/>
      </rPr>
      <t>2</t>
    </r>
    <r>
      <rPr>
        <sz val="10"/>
        <color indexed="8"/>
        <rFont val="Arial"/>
        <family val="2"/>
      </rPr>
      <t xml:space="preserve"> = S</t>
    </r>
    <r>
      <rPr>
        <sz val="8"/>
        <color indexed="8"/>
        <rFont val="Arial"/>
        <family val="2"/>
      </rPr>
      <t>ac</t>
    </r>
    <r>
      <rPr>
        <sz val="10"/>
        <color indexed="8"/>
        <rFont val="Arial"/>
        <family val="2"/>
      </rPr>
      <t>*</t>
    </r>
    <r>
      <rPr>
        <sz val="10"/>
        <color indexed="8"/>
        <rFont val="Tahoma"/>
        <family val="2"/>
      </rPr>
      <t>I</t>
    </r>
    <r>
      <rPr>
        <sz val="10"/>
        <color indexed="8"/>
        <rFont val="Arial"/>
        <family val="2"/>
      </rPr>
      <t>/1.5,  ASCE 7-10 Eqn. 15.7-6</t>
    </r>
  </si>
  <si>
    <r>
      <t>C</t>
    </r>
    <r>
      <rPr>
        <sz val="8"/>
        <color indexed="8"/>
        <rFont val="Arial"/>
        <family val="2"/>
      </rPr>
      <t>1</t>
    </r>
    <r>
      <rPr>
        <sz val="10"/>
        <color indexed="8"/>
        <rFont val="Arial"/>
        <family val="2"/>
      </rPr>
      <t xml:space="preserve"> = S</t>
    </r>
    <r>
      <rPr>
        <sz val="8"/>
        <color indexed="8"/>
        <rFont val="Arial"/>
        <family val="2"/>
      </rPr>
      <t>ai</t>
    </r>
    <r>
      <rPr>
        <sz val="10"/>
        <color indexed="8"/>
        <rFont val="Arial"/>
        <family val="2"/>
      </rPr>
      <t>/(R/I),  ASCE 7-10 Eqn. 15.7-5</t>
    </r>
  </si>
  <si>
    <t>This program is a workbook consisting of (9) worksheets, described as follows:</t>
  </si>
  <si>
    <t>lbs</t>
  </si>
  <si>
    <t>"ASCE710E" --- ASCE7-10 &amp; IBC 2012 SEISMIC ANALYSIS PROGRAM</t>
  </si>
  <si>
    <t xml:space="preserve">"ASCE710E" is a spreadsheet program written in MS-Excel for the purpose of seismic loading analysis for </t>
  </si>
  <si>
    <t>CUSA Sacramento</t>
  </si>
  <si>
    <t>16423</t>
  </si>
  <si>
    <t>Single Screen Frame</t>
  </si>
  <si>
    <t>DRT</t>
  </si>
  <si>
    <t>Version 2.3 Updated 8/1/16</t>
  </si>
  <si>
    <t>Upper Level Speaker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</si>
</sst>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0000"/>
    <numFmt numFmtId="166" formatCode="0.0"/>
    <numFmt numFmtId="167" formatCode="&quot;$&quot;#,##0\ ;\(&quot;$&quot;#,##0\)"/>
  </numFmts>
  <fonts count="112">
    <font>
      <sz val="10"/>
      <name val="Arial Greek"/>
    </font>
    <font>
      <sz val="10"/>
      <name val="Arial Greek"/>
    </font>
    <font>
      <sz val="10"/>
      <name val="Arial"/>
      <family val="2"/>
    </font>
    <font>
      <sz val="10"/>
      <color indexed="24"/>
      <name val="Arial"/>
      <family val="2"/>
    </font>
    <font>
      <b/>
      <sz val="18"/>
      <color indexed="24"/>
      <name val="Arial"/>
      <family val="2"/>
    </font>
    <font>
      <b/>
      <sz val="12"/>
      <color indexed="24"/>
      <name val="Arial"/>
      <family val="2"/>
    </font>
    <font>
      <u/>
      <sz val="10"/>
      <color indexed="12"/>
      <name val="Arial"/>
      <family val="2"/>
    </font>
    <font>
      <b/>
      <sz val="12"/>
      <name val="Arial"/>
      <family val="2"/>
    </font>
    <font>
      <b/>
      <sz val="10"/>
      <name val="Arial"/>
      <family val="2"/>
    </font>
    <font>
      <sz val="8"/>
      <color indexed="12"/>
      <name val="Arial"/>
      <family val="2"/>
    </font>
    <font>
      <sz val="10"/>
      <color indexed="12"/>
      <name val="Arial"/>
      <family val="2"/>
    </font>
    <font>
      <u/>
      <sz val="10"/>
      <color indexed="12"/>
      <name val="Arial"/>
      <family val="2"/>
    </font>
    <font>
      <b/>
      <u/>
      <sz val="10"/>
      <color indexed="12"/>
      <name val="Arial"/>
      <family val="2"/>
    </font>
    <font>
      <b/>
      <sz val="10"/>
      <color indexed="10"/>
      <name val="Arial"/>
      <family val="2"/>
    </font>
    <font>
      <sz val="10"/>
      <color indexed="12"/>
      <name val="Arial"/>
      <family val="2"/>
    </font>
    <font>
      <sz val="10"/>
      <color indexed="8"/>
      <name val="Arial"/>
      <family val="2"/>
    </font>
    <font>
      <b/>
      <sz val="10"/>
      <color indexed="12"/>
      <name val="Arial"/>
      <family val="2"/>
    </font>
    <font>
      <sz val="10"/>
      <color indexed="12"/>
      <name val="Symbol"/>
      <family val="1"/>
      <charset val="2"/>
    </font>
    <font>
      <sz val="8"/>
      <color indexed="8"/>
      <name val="Arial"/>
      <family val="2"/>
    </font>
    <font>
      <sz val="10"/>
      <name val="Arial"/>
      <family val="2"/>
    </font>
    <font>
      <b/>
      <u/>
      <sz val="10"/>
      <name val="Arial"/>
      <family val="2"/>
    </font>
    <font>
      <sz val="10"/>
      <name val="GreekC"/>
    </font>
    <font>
      <sz val="9"/>
      <name val="Arial"/>
      <family val="2"/>
    </font>
    <font>
      <u/>
      <sz val="10"/>
      <name val="Arial"/>
      <family val="2"/>
    </font>
    <font>
      <sz val="10"/>
      <color indexed="12"/>
      <name val="WP Greek Century"/>
      <charset val="2"/>
    </font>
    <font>
      <sz val="10"/>
      <name val="GreekS"/>
    </font>
    <font>
      <sz val="10"/>
      <color indexed="8"/>
      <name val="Arial"/>
      <family val="2"/>
    </font>
    <font>
      <b/>
      <u/>
      <sz val="10"/>
      <color indexed="8"/>
      <name val="Arial"/>
      <family val="2"/>
    </font>
    <font>
      <u/>
      <sz val="10"/>
      <color indexed="8"/>
      <name val="Arial"/>
      <family val="2"/>
    </font>
    <font>
      <sz val="10"/>
      <color indexed="8"/>
      <name val="Symbol"/>
      <family val="1"/>
      <charset val="2"/>
    </font>
    <font>
      <b/>
      <sz val="10"/>
      <color indexed="8"/>
      <name val="Arial"/>
      <family val="2"/>
    </font>
    <font>
      <b/>
      <i/>
      <sz val="10"/>
      <color indexed="12"/>
      <name val="Arial"/>
      <family val="2"/>
    </font>
    <font>
      <sz val="8"/>
      <color indexed="81"/>
      <name val="Tahoma"/>
      <family val="2"/>
    </font>
    <font>
      <b/>
      <sz val="8"/>
      <color indexed="81"/>
      <name val="Tahoma"/>
      <family val="2"/>
    </font>
    <font>
      <b/>
      <u/>
      <sz val="8"/>
      <color indexed="81"/>
      <name val="Tahoma"/>
      <family val="2"/>
    </font>
    <font>
      <u/>
      <sz val="8"/>
      <color indexed="81"/>
      <name val="Tahoma"/>
      <family val="2"/>
    </font>
    <font>
      <sz val="12"/>
      <color indexed="8"/>
      <name val="Arial"/>
      <family val="2"/>
    </font>
    <font>
      <sz val="8"/>
      <name val="Arial"/>
      <family val="2"/>
    </font>
    <font>
      <sz val="10"/>
      <color indexed="12"/>
      <name val="Tahoma"/>
      <family val="2"/>
    </font>
    <font>
      <sz val="10"/>
      <name val="Tahoma"/>
      <family val="2"/>
    </font>
    <font>
      <sz val="10"/>
      <name val="Symbol"/>
      <family val="1"/>
      <charset val="2"/>
    </font>
    <font>
      <sz val="9"/>
      <color indexed="12"/>
      <name val="Arial"/>
      <family val="2"/>
    </font>
    <font>
      <sz val="10"/>
      <color indexed="10"/>
      <name val="Arial"/>
      <family val="2"/>
    </font>
    <font>
      <b/>
      <sz val="8"/>
      <name val="Arial"/>
      <family val="2"/>
    </font>
    <font>
      <sz val="10"/>
      <color indexed="12"/>
      <name val="Arial Greek"/>
      <family val="2"/>
      <charset val="161"/>
    </font>
    <font>
      <b/>
      <u/>
      <sz val="12"/>
      <name val="Arial"/>
      <family val="2"/>
    </font>
    <font>
      <b/>
      <sz val="9"/>
      <name val="Arial"/>
      <family val="2"/>
    </font>
    <font>
      <b/>
      <sz val="8"/>
      <color indexed="10"/>
      <name val="Arial"/>
      <family val="2"/>
    </font>
    <font>
      <sz val="10"/>
      <color indexed="8"/>
      <name val="Tahoma"/>
      <family val="2"/>
    </font>
    <font>
      <sz val="8"/>
      <name val="Arial"/>
      <family val="2"/>
    </font>
    <font>
      <sz val="8"/>
      <color indexed="8"/>
      <name val="Arial"/>
      <family val="2"/>
    </font>
    <font>
      <sz val="8"/>
      <color indexed="81"/>
      <name val="Symbol"/>
      <family val="1"/>
      <charset val="2"/>
    </font>
    <font>
      <sz val="9"/>
      <name val="Arial"/>
      <family val="2"/>
    </font>
    <font>
      <sz val="8"/>
      <color indexed="11"/>
      <name val="Arial"/>
      <family val="2"/>
    </font>
    <font>
      <sz val="8"/>
      <color indexed="10"/>
      <name val="Arial"/>
      <family val="2"/>
    </font>
    <font>
      <b/>
      <sz val="8"/>
      <color indexed="8"/>
      <name val="Arial"/>
      <family val="2"/>
    </font>
    <font>
      <b/>
      <u/>
      <sz val="8"/>
      <name val="Arial"/>
      <family val="2"/>
    </font>
    <font>
      <sz val="8"/>
      <name val="Symbol"/>
      <family val="1"/>
      <charset val="2"/>
    </font>
    <font>
      <sz val="8"/>
      <name val="Tahoma"/>
      <family val="2"/>
    </font>
    <font>
      <sz val="8"/>
      <name val="Arial Greek"/>
    </font>
    <font>
      <sz val="9"/>
      <color indexed="10"/>
      <name val="Arial"/>
      <family val="2"/>
    </font>
    <font>
      <sz val="8"/>
      <color indexed="10"/>
      <name val="Tahoma"/>
      <family val="2"/>
    </font>
    <font>
      <u/>
      <sz val="8"/>
      <color indexed="10"/>
      <name val="Tahoma"/>
      <family val="2"/>
    </font>
    <font>
      <b/>
      <u/>
      <sz val="10"/>
      <color indexed="81"/>
      <name val="Symbol"/>
      <family val="1"/>
      <charset val="2"/>
    </font>
    <font>
      <b/>
      <u/>
      <sz val="10"/>
      <color indexed="10"/>
      <name val="Arial"/>
      <family val="2"/>
    </font>
    <font>
      <sz val="9"/>
      <color indexed="10"/>
      <name val="Arial"/>
      <family val="2"/>
    </font>
    <font>
      <b/>
      <i/>
      <u/>
      <sz val="8"/>
      <color indexed="81"/>
      <name val="Tahoma"/>
      <family val="2"/>
    </font>
    <font>
      <i/>
      <sz val="8"/>
      <color indexed="81"/>
      <name val="Tahoma"/>
      <family val="2"/>
    </font>
    <font>
      <i/>
      <u/>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u/>
      <sz val="10"/>
      <color indexed="12"/>
      <name val="Arial"/>
      <family val="2"/>
    </font>
    <font>
      <sz val="10"/>
      <color rgb="FF0070C0"/>
      <name val="Arial"/>
      <family val="2"/>
    </font>
    <font>
      <sz val="10"/>
      <color rgb="FFFF0000"/>
      <name val="Arial"/>
      <family val="2"/>
    </font>
    <font>
      <b/>
      <u/>
      <sz val="9"/>
      <name val="Arial"/>
      <family val="2"/>
    </font>
    <font>
      <b/>
      <sz val="8"/>
      <name val="Symbol"/>
      <family val="1"/>
      <charset val="2"/>
    </font>
    <font>
      <b/>
      <i/>
      <sz val="8"/>
      <name val="Arial"/>
      <family val="2"/>
    </font>
    <font>
      <i/>
      <sz val="8"/>
      <color indexed="8"/>
      <name val="Arial"/>
      <family val="2"/>
    </font>
    <font>
      <sz val="8"/>
      <color indexed="12"/>
      <name val="Arial Greek"/>
    </font>
    <font>
      <i/>
      <sz val="8"/>
      <color indexed="8"/>
      <name val="Arial Greek"/>
    </font>
    <font>
      <sz val="8"/>
      <color indexed="11"/>
      <name val="Arial Greek"/>
    </font>
    <font>
      <sz val="8"/>
      <color indexed="12"/>
      <name val="Arial Greek"/>
      <family val="2"/>
      <charset val="161"/>
    </font>
    <font>
      <sz val="9"/>
      <name val="Symbol"/>
      <family val="1"/>
      <charset val="2"/>
    </font>
    <font>
      <b/>
      <sz val="10"/>
      <color indexed="10"/>
      <name val="Arial Greek"/>
    </font>
    <font>
      <u/>
      <sz val="10"/>
      <color indexed="8"/>
      <name val="Arial Greek"/>
    </font>
    <font>
      <sz val="10"/>
      <color indexed="10"/>
      <name val="Arial Greek"/>
    </font>
    <font>
      <sz val="8"/>
      <color indexed="11"/>
      <name val="Arial Greek"/>
      <family val="2"/>
      <charset val="161"/>
    </font>
    <font>
      <b/>
      <i/>
      <sz val="9"/>
      <color indexed="10"/>
      <name val="Arial"/>
      <family val="2"/>
    </font>
    <font>
      <sz val="10"/>
      <color indexed="12"/>
      <name val="Arial Greek"/>
    </font>
    <font>
      <sz val="8"/>
      <color indexed="8"/>
      <name val="Symbol"/>
      <family val="1"/>
      <charset val="2"/>
    </font>
    <font>
      <sz val="9"/>
      <color indexed="8"/>
      <name val="Arial"/>
      <family val="2"/>
    </font>
    <font>
      <b/>
      <u/>
      <sz val="8"/>
      <color indexed="10"/>
      <name val="Tahoma"/>
      <family val="2"/>
    </font>
    <font>
      <b/>
      <sz val="8"/>
      <color indexed="10"/>
      <name val="Tahoma"/>
      <family val="2"/>
    </font>
    <font>
      <i/>
      <sz val="8"/>
      <name val="Arial"/>
      <family val="2"/>
    </font>
    <font>
      <i/>
      <sz val="8"/>
      <color indexed="12"/>
      <name val="Arial"/>
      <family val="2"/>
    </font>
    <font>
      <sz val="10"/>
      <color indexed="8"/>
      <name val="Arial Greek"/>
    </font>
    <font>
      <i/>
      <u/>
      <sz val="10"/>
      <color indexed="10"/>
      <name val="Arial"/>
      <family val="2"/>
    </font>
    <font>
      <i/>
      <sz val="10"/>
      <color indexed="10"/>
      <name val="Arial"/>
      <family val="2"/>
    </font>
    <font>
      <sz val="9"/>
      <color indexed="81"/>
      <name val="Tahoma"/>
      <family val="2"/>
    </font>
    <font>
      <b/>
      <sz val="9"/>
      <color indexed="81"/>
      <name val="Tahoma"/>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rgb="FFFFFF00"/>
        <bgColor indexed="64"/>
      </patternFill>
    </fill>
    <fill>
      <patternFill patternType="solid">
        <fgColor theme="2"/>
        <bgColor indexed="64"/>
      </patternFill>
    </fill>
    <fill>
      <patternFill patternType="solid">
        <fgColor theme="0"/>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64"/>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22"/>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diagonal/>
    </border>
    <border>
      <left style="thin">
        <color indexed="64"/>
      </left>
      <right style="thin">
        <color indexed="64"/>
      </right>
      <top/>
      <bottom/>
      <diagonal/>
    </border>
    <border>
      <left style="thin">
        <color indexed="64"/>
      </left>
      <right/>
      <top style="thin">
        <color indexed="22"/>
      </top>
      <bottom style="thin">
        <color indexed="22"/>
      </bottom>
      <diagonal/>
    </border>
    <border>
      <left style="thin">
        <color indexed="64"/>
      </left>
      <right/>
      <top style="thin">
        <color indexed="22"/>
      </top>
      <bottom style="thin">
        <color indexed="64"/>
      </bottom>
      <diagonal/>
    </border>
    <border>
      <left style="thin">
        <color indexed="64"/>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thin">
        <color indexed="64"/>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22"/>
      </right>
      <top style="thin">
        <color indexed="64"/>
      </top>
      <bottom style="thin">
        <color indexed="22"/>
      </bottom>
      <diagonal/>
    </border>
    <border>
      <left/>
      <right style="thin">
        <color indexed="22"/>
      </right>
      <top style="thin">
        <color indexed="22"/>
      </top>
      <bottom style="thin">
        <color indexed="22"/>
      </bottom>
      <diagonal/>
    </border>
    <border>
      <left/>
      <right style="thin">
        <color indexed="22"/>
      </right>
      <top style="thin">
        <color indexed="22"/>
      </top>
      <bottom style="thin">
        <color indexed="64"/>
      </bottom>
      <diagonal/>
    </border>
    <border>
      <left style="thin">
        <color indexed="64"/>
      </left>
      <right/>
      <top/>
      <bottom style="thin">
        <color indexed="22"/>
      </bottom>
      <diagonal/>
    </border>
    <border>
      <left style="thin">
        <color indexed="64"/>
      </left>
      <right/>
      <top style="thin">
        <color indexed="64"/>
      </top>
      <bottom style="thin">
        <color indexed="22"/>
      </bottom>
      <diagonal/>
    </border>
    <border>
      <left style="thin">
        <color indexed="64"/>
      </left>
      <right/>
      <top style="thin">
        <color indexed="22"/>
      </top>
      <bottom/>
      <diagonal/>
    </border>
    <border>
      <left/>
      <right style="thin">
        <color indexed="64"/>
      </right>
      <top style="thin">
        <color indexed="22"/>
      </top>
      <bottom/>
      <diagonal/>
    </border>
    <border>
      <left/>
      <right style="thin">
        <color indexed="64"/>
      </right>
      <top style="thin">
        <color indexed="22"/>
      </top>
      <bottom style="thin">
        <color indexed="22"/>
      </bottom>
      <diagonal/>
    </border>
    <border>
      <left/>
      <right style="thin">
        <color indexed="64"/>
      </right>
      <top style="thin">
        <color indexed="64"/>
      </top>
      <bottom style="thin">
        <color indexed="22"/>
      </bottom>
      <diagonal/>
    </border>
    <border>
      <left/>
      <right style="thin">
        <color indexed="64"/>
      </right>
      <top style="thin">
        <color indexed="22"/>
      </top>
      <bottom style="thin">
        <color indexed="64"/>
      </bottom>
      <diagonal/>
    </border>
    <border>
      <left/>
      <right style="thin">
        <color indexed="64"/>
      </right>
      <top/>
      <bottom style="thin">
        <color indexed="22"/>
      </bottom>
      <diagonal/>
    </border>
    <border>
      <left/>
      <right/>
      <top style="thin">
        <color indexed="64"/>
      </top>
      <bottom style="thin">
        <color indexed="22"/>
      </bottom>
      <diagonal/>
    </border>
    <border>
      <left/>
      <right/>
      <top style="thin">
        <color indexed="22"/>
      </top>
      <bottom style="thin">
        <color indexed="22"/>
      </bottom>
      <diagonal/>
    </border>
    <border>
      <left/>
      <right/>
      <top style="thin">
        <color indexed="22"/>
      </top>
      <bottom style="thin">
        <color indexed="64"/>
      </bottom>
      <diagonal/>
    </border>
    <border>
      <left/>
      <right/>
      <top/>
      <bottom style="thin">
        <color indexed="22"/>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style="thin">
        <color indexed="22"/>
      </top>
      <bottom style="thin">
        <color theme="0" tint="-0.24994659260841701"/>
      </bottom>
      <diagonal/>
    </border>
    <border>
      <left style="thin">
        <color indexed="64"/>
      </left>
      <right style="thin">
        <color indexed="64"/>
      </right>
      <top style="thin">
        <color theme="0" tint="-0.24994659260841701"/>
      </top>
      <bottom style="thin">
        <color indexed="22"/>
      </bottom>
      <diagonal/>
    </border>
    <border>
      <left/>
      <right/>
      <top style="thin">
        <color indexed="22"/>
      </top>
      <bottom/>
      <diagonal/>
    </border>
    <border>
      <left style="thin">
        <color indexed="64"/>
      </left>
      <right style="thin">
        <color indexed="64"/>
      </right>
      <top/>
      <bottom style="thin">
        <color indexed="31"/>
      </bottom>
      <diagonal/>
    </border>
    <border>
      <left style="thin">
        <color indexed="64"/>
      </left>
      <right/>
      <top/>
      <bottom style="thin">
        <color indexed="31"/>
      </bottom>
      <diagonal/>
    </border>
    <border>
      <left style="thin">
        <color indexed="64"/>
      </left>
      <right style="thin">
        <color indexed="64"/>
      </right>
      <top style="thin">
        <color indexed="31"/>
      </top>
      <bottom style="thin">
        <color indexed="31"/>
      </bottom>
      <diagonal/>
    </border>
    <border>
      <left style="thin">
        <color indexed="64"/>
      </left>
      <right/>
      <top style="thin">
        <color indexed="31"/>
      </top>
      <bottom style="thin">
        <color indexed="31"/>
      </bottom>
      <diagonal/>
    </border>
    <border>
      <left style="thin">
        <color indexed="64"/>
      </left>
      <right style="thin">
        <color indexed="64"/>
      </right>
      <top style="thin">
        <color indexed="31"/>
      </top>
      <bottom style="thin">
        <color indexed="64"/>
      </bottom>
      <diagonal/>
    </border>
    <border>
      <left style="thin">
        <color indexed="64"/>
      </left>
      <right/>
      <top style="thin">
        <color indexed="31"/>
      </top>
      <bottom style="thin">
        <color indexed="64"/>
      </bottom>
      <diagonal/>
    </border>
    <border>
      <left style="thin">
        <color indexed="64"/>
      </left>
      <right style="thin">
        <color indexed="64"/>
      </right>
      <top style="thin">
        <color indexed="22"/>
      </top>
      <bottom style="thin">
        <color indexed="31"/>
      </bottom>
      <diagonal/>
    </border>
    <border>
      <left style="thin">
        <color indexed="64"/>
      </left>
      <right style="thin">
        <color indexed="64"/>
      </right>
      <top style="thin">
        <color indexed="31"/>
      </top>
      <bottom style="thin">
        <color indexed="22"/>
      </bottom>
      <diagonal/>
    </border>
    <border>
      <left style="thin">
        <color indexed="64"/>
      </left>
      <right/>
      <top style="thin">
        <color indexed="22"/>
      </top>
      <bottom style="thin">
        <color indexed="31"/>
      </bottom>
      <diagonal/>
    </border>
    <border>
      <left style="thin">
        <color indexed="64"/>
      </left>
      <right/>
      <top style="thin">
        <color indexed="31"/>
      </top>
      <bottom style="thin">
        <color indexed="22"/>
      </bottom>
      <diagonal/>
    </border>
    <border>
      <left style="thin">
        <color indexed="64"/>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s>
  <cellStyleXfs count="54">
    <xf numFmtId="0" fontId="0" fillId="0" borderId="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5" borderId="0" applyNumberFormat="0" applyBorder="0" applyAlignment="0" applyProtection="0"/>
    <xf numFmtId="0" fontId="69" fillId="8" borderId="0" applyNumberFormat="0" applyBorder="0" applyAlignment="0" applyProtection="0"/>
    <xf numFmtId="0" fontId="69" fillId="11" borderId="0" applyNumberFormat="0" applyBorder="0" applyAlignment="0" applyProtection="0"/>
    <xf numFmtId="0" fontId="70" fillId="12"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9" borderId="0" applyNumberFormat="0" applyBorder="0" applyAlignment="0" applyProtection="0"/>
    <xf numFmtId="0" fontId="71" fillId="3" borderId="0" applyNumberFormat="0" applyBorder="0" applyAlignment="0" applyProtection="0"/>
    <xf numFmtId="0" fontId="72" fillId="20" borderId="1" applyNumberFormat="0" applyAlignment="0" applyProtection="0"/>
    <xf numFmtId="0" fontId="73" fillId="21" borderId="2" applyNumberFormat="0" applyAlignment="0" applyProtection="0"/>
    <xf numFmtId="3" fontId="3" fillId="0" borderId="0" applyFont="0" applyFill="0" applyBorder="0" applyAlignment="0" applyProtection="0"/>
    <xf numFmtId="167" fontId="3" fillId="0" borderId="0" applyFont="0" applyFill="0" applyBorder="0" applyAlignment="0" applyProtection="0"/>
    <xf numFmtId="0" fontId="3" fillId="0" borderId="0" applyFont="0" applyFill="0" applyBorder="0" applyAlignment="0" applyProtection="0"/>
    <xf numFmtId="0" fontId="74" fillId="0" borderId="0" applyNumberFormat="0" applyFill="0" applyBorder="0" applyAlignment="0" applyProtection="0"/>
    <xf numFmtId="2" fontId="3" fillId="0" borderId="0" applyFont="0" applyFill="0" applyBorder="0" applyAlignment="0" applyProtection="0"/>
    <xf numFmtId="0" fontId="75" fillId="4" borderId="0" applyNumberFormat="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6" fillId="0" borderId="3" applyNumberFormat="0" applyFill="0" applyAlignment="0" applyProtection="0"/>
    <xf numFmtId="0" fontId="76" fillId="0" borderId="0" applyNumberFormat="0" applyFill="0" applyBorder="0" applyAlignment="0" applyProtection="0"/>
    <xf numFmtId="0" fontId="6" fillId="0" borderId="0" applyNumberFormat="0" applyFill="0" applyBorder="0" applyAlignment="0" applyProtection="0">
      <alignment vertical="top"/>
      <protection locked="0"/>
    </xf>
    <xf numFmtId="0" fontId="77" fillId="7" borderId="1" applyNumberFormat="0" applyAlignment="0" applyProtection="0"/>
    <xf numFmtId="0" fontId="78" fillId="0" borderId="4" applyNumberFormat="0" applyFill="0" applyAlignment="0" applyProtection="0"/>
    <xf numFmtId="0" fontId="79"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23" borderId="5" applyNumberFormat="0" applyFont="0" applyAlignment="0" applyProtection="0"/>
    <xf numFmtId="0" fontId="80" fillId="20" borderId="6" applyNumberFormat="0" applyAlignment="0" applyProtection="0"/>
    <xf numFmtId="0" fontId="81" fillId="0" borderId="0" applyNumberFormat="0" applyFill="0" applyBorder="0" applyAlignment="0" applyProtection="0"/>
    <xf numFmtId="0" fontId="3" fillId="0" borderId="7" applyNumberFormat="0" applyFont="0" applyFill="0" applyAlignment="0" applyProtection="0"/>
    <xf numFmtId="0" fontId="82" fillId="0" borderId="0" applyNumberFormat="0" applyFill="0" applyBorder="0" applyAlignment="0" applyProtection="0"/>
    <xf numFmtId="0" fontId="19" fillId="0" borderId="0"/>
  </cellStyleXfs>
  <cellXfs count="1468">
    <xf numFmtId="0" fontId="0" fillId="0" borderId="0" xfId="0"/>
    <xf numFmtId="0" fontId="14" fillId="24" borderId="0" xfId="44" applyFont="1" applyFill="1" applyBorder="1" applyAlignment="1" applyProtection="1">
      <alignment horizontal="center" vertical="center"/>
      <protection locked="0"/>
    </xf>
    <xf numFmtId="0" fontId="14" fillId="25" borderId="8" xfId="44" applyFont="1" applyFill="1" applyBorder="1" applyAlignment="1" applyProtection="1">
      <alignment horizontal="center" vertical="center"/>
      <protection locked="0"/>
    </xf>
    <xf numFmtId="2" fontId="14" fillId="25" borderId="9" xfId="44" applyNumberFormat="1" applyFont="1" applyFill="1" applyBorder="1" applyAlignment="1" applyProtection="1">
      <alignment horizontal="center" vertical="center"/>
      <protection locked="0"/>
    </xf>
    <xf numFmtId="0" fontId="11" fillId="24" borderId="0" xfId="45" applyFont="1" applyFill="1" applyBorder="1" applyAlignment="1" applyProtection="1">
      <alignment vertical="center"/>
      <protection hidden="1"/>
    </xf>
    <xf numFmtId="0" fontId="2" fillId="24" borderId="11" xfId="43" applyFont="1" applyFill="1" applyBorder="1" applyAlignment="1" applyProtection="1">
      <alignment horizontal="center" vertical="center"/>
      <protection hidden="1"/>
    </xf>
    <xf numFmtId="0" fontId="15" fillId="24" borderId="10" xfId="43" applyFont="1" applyFill="1" applyBorder="1" applyAlignment="1" applyProtection="1">
      <alignment horizontal="center" vertical="center"/>
      <protection hidden="1"/>
    </xf>
    <xf numFmtId="0" fontId="7" fillId="26" borderId="12" xfId="44" applyFont="1" applyFill="1" applyBorder="1" applyAlignment="1" applyProtection="1">
      <alignment horizontal="centerContinuous" vertical="center"/>
      <protection hidden="1"/>
    </xf>
    <xf numFmtId="0" fontId="7" fillId="26" borderId="13" xfId="44" applyFont="1" applyFill="1" applyBorder="1" applyAlignment="1" applyProtection="1">
      <alignment horizontal="centerContinuous" vertical="center"/>
      <protection hidden="1"/>
    </xf>
    <xf numFmtId="0" fontId="8" fillId="26" borderId="13" xfId="44" applyFont="1" applyFill="1" applyBorder="1" applyAlignment="1" applyProtection="1">
      <alignment horizontal="centerContinuous" vertical="center"/>
      <protection hidden="1"/>
    </xf>
    <xf numFmtId="0" fontId="2" fillId="26" borderId="13" xfId="44" applyFont="1" applyFill="1" applyBorder="1" applyAlignment="1" applyProtection="1">
      <alignment horizontal="centerContinuous" vertical="center"/>
      <protection hidden="1"/>
    </xf>
    <xf numFmtId="0" fontId="2" fillId="26" borderId="14" xfId="44" applyFont="1" applyFill="1" applyBorder="1" applyAlignment="1" applyProtection="1">
      <alignment horizontal="centerContinuous" vertical="center"/>
      <protection hidden="1"/>
    </xf>
    <xf numFmtId="0" fontId="9" fillId="24" borderId="0" xfId="44" applyFont="1" applyFill="1" applyBorder="1" applyAlignment="1" applyProtection="1">
      <alignment horizontal="right" vertical="center"/>
      <protection hidden="1"/>
    </xf>
    <xf numFmtId="0" fontId="14" fillId="0" borderId="0" xfId="44" applyFont="1" applyFill="1" applyBorder="1" applyAlignment="1" applyProtection="1">
      <alignment horizontal="center" vertical="center"/>
      <protection hidden="1"/>
    </xf>
    <xf numFmtId="0" fontId="10" fillId="0" borderId="0" xfId="44" applyFont="1" applyFill="1" applyBorder="1" applyAlignment="1" applyProtection="1">
      <alignment horizontal="center" vertical="center"/>
      <protection hidden="1"/>
    </xf>
    <xf numFmtId="0" fontId="14" fillId="0" borderId="0" xfId="44" applyFont="1" applyFill="1" applyBorder="1" applyAlignment="1" applyProtection="1">
      <alignment vertical="center"/>
      <protection hidden="1"/>
    </xf>
    <xf numFmtId="0" fontId="10" fillId="0" borderId="0" xfId="44" applyFont="1" applyFill="1" applyBorder="1" applyAlignment="1" applyProtection="1">
      <alignment vertical="center"/>
      <protection hidden="1"/>
    </xf>
    <xf numFmtId="0" fontId="10" fillId="0" borderId="0" xfId="44" applyFont="1" applyFill="1" applyBorder="1" applyAlignment="1" applyProtection="1">
      <alignment horizontal="right" vertical="center"/>
      <protection hidden="1"/>
    </xf>
    <xf numFmtId="0" fontId="10" fillId="0" borderId="0" xfId="44" applyFont="1" applyAlignment="1" applyProtection="1">
      <alignment horizontal="right" vertical="center"/>
      <protection hidden="1"/>
    </xf>
    <xf numFmtId="0" fontId="10" fillId="24" borderId="0" xfId="44" applyFont="1" applyFill="1" applyAlignment="1" applyProtection="1">
      <alignment vertical="center"/>
      <protection hidden="1"/>
    </xf>
    <xf numFmtId="0" fontId="10" fillId="24" borderId="0" xfId="44" applyFont="1" applyFill="1" applyBorder="1" applyAlignment="1" applyProtection="1">
      <alignment vertical="center"/>
      <protection hidden="1"/>
    </xf>
    <xf numFmtId="0" fontId="12" fillId="24" borderId="0" xfId="44" applyFont="1" applyFill="1" applyAlignment="1" applyProtection="1">
      <alignment vertical="center"/>
      <protection hidden="1"/>
    </xf>
    <xf numFmtId="0" fontId="13" fillId="26" borderId="15" xfId="44" applyFont="1" applyFill="1" applyBorder="1" applyAlignment="1" applyProtection="1">
      <alignment horizontal="centerContinuous" vertical="center"/>
      <protection hidden="1"/>
    </xf>
    <xf numFmtId="0" fontId="13" fillId="26" borderId="0" xfId="44" applyFont="1" applyFill="1" applyBorder="1" applyAlignment="1" applyProtection="1">
      <alignment horizontal="centerContinuous" vertical="center"/>
      <protection hidden="1"/>
    </xf>
    <xf numFmtId="0" fontId="13" fillId="26" borderId="16" xfId="44" applyFont="1" applyFill="1" applyBorder="1" applyAlignment="1" applyProtection="1">
      <alignment horizontal="centerContinuous" vertical="center"/>
      <protection hidden="1"/>
    </xf>
    <xf numFmtId="0" fontId="14" fillId="24" borderId="0" xfId="44" applyFont="1" applyFill="1" applyBorder="1" applyAlignment="1" applyProtection="1">
      <alignment horizontal="center" vertical="center"/>
      <protection hidden="1"/>
    </xf>
    <xf numFmtId="10" fontId="14" fillId="0" borderId="0" xfId="44" applyNumberFormat="1" applyFont="1" applyFill="1" applyBorder="1" applyAlignment="1" applyProtection="1">
      <alignment vertical="center"/>
      <protection hidden="1"/>
    </xf>
    <xf numFmtId="0" fontId="14" fillId="24" borderId="0" xfId="44" applyFont="1" applyFill="1" applyAlignment="1" applyProtection="1">
      <alignment horizontal="center" vertical="center"/>
      <protection hidden="1"/>
    </xf>
    <xf numFmtId="0" fontId="16" fillId="24" borderId="0" xfId="44" applyFont="1" applyFill="1" applyAlignment="1" applyProtection="1">
      <alignment horizontal="center" vertical="center"/>
      <protection hidden="1"/>
    </xf>
    <xf numFmtId="0" fontId="13" fillId="26" borderId="17" xfId="44" applyFont="1" applyFill="1" applyBorder="1" applyAlignment="1" applyProtection="1">
      <alignment horizontal="centerContinuous" vertical="center"/>
      <protection hidden="1"/>
    </xf>
    <xf numFmtId="0" fontId="36" fillId="26" borderId="18" xfId="44" applyFont="1" applyFill="1" applyBorder="1" applyAlignment="1" applyProtection="1">
      <alignment horizontal="centerContinuous" vertical="center"/>
      <protection hidden="1"/>
    </xf>
    <xf numFmtId="0" fontId="13" fillId="26" borderId="18" xfId="44" applyFont="1" applyFill="1" applyBorder="1" applyAlignment="1" applyProtection="1">
      <alignment horizontal="centerContinuous" vertical="center"/>
      <protection hidden="1"/>
    </xf>
    <xf numFmtId="0" fontId="13" fillId="26" borderId="19" xfId="44" applyFont="1" applyFill="1" applyBorder="1" applyAlignment="1" applyProtection="1">
      <alignment horizontal="centerContinuous" vertical="center"/>
      <protection hidden="1"/>
    </xf>
    <xf numFmtId="0" fontId="14" fillId="24" borderId="0" xfId="44" applyFont="1" applyFill="1" applyBorder="1" applyAlignment="1" applyProtection="1">
      <alignment vertical="center"/>
      <protection hidden="1"/>
    </xf>
    <xf numFmtId="10" fontId="38" fillId="0" borderId="0" xfId="44" applyNumberFormat="1" applyFont="1" applyFill="1" applyBorder="1" applyAlignment="1" applyProtection="1">
      <alignment horizontal="center" vertical="center"/>
      <protection hidden="1"/>
    </xf>
    <xf numFmtId="0" fontId="14" fillId="24" borderId="12" xfId="44" applyFont="1" applyFill="1" applyBorder="1" applyAlignment="1" applyProtection="1">
      <alignment horizontal="centerContinuous" vertical="center"/>
      <protection hidden="1"/>
    </xf>
    <xf numFmtId="0" fontId="14" fillId="24" borderId="13" xfId="44" applyFont="1" applyFill="1" applyBorder="1" applyAlignment="1" applyProtection="1">
      <alignment horizontal="centerContinuous" vertical="center"/>
      <protection hidden="1"/>
    </xf>
    <xf numFmtId="0" fontId="14" fillId="24" borderId="14" xfId="44" applyFont="1" applyFill="1" applyBorder="1" applyAlignment="1" applyProtection="1">
      <alignment horizontal="centerContinuous" vertical="center"/>
      <protection hidden="1"/>
    </xf>
    <xf numFmtId="0" fontId="15" fillId="24" borderId="0" xfId="44" applyFont="1" applyFill="1" applyBorder="1" applyAlignment="1" applyProtection="1">
      <alignment vertical="center"/>
      <protection hidden="1"/>
    </xf>
    <xf numFmtId="0" fontId="12" fillId="24" borderId="0" xfId="44" applyFont="1" applyFill="1" applyBorder="1" applyAlignment="1" applyProtection="1">
      <alignment vertical="center"/>
      <protection hidden="1"/>
    </xf>
    <xf numFmtId="0" fontId="15" fillId="24" borderId="11" xfId="43" applyFont="1" applyFill="1" applyBorder="1" applyAlignment="1" applyProtection="1">
      <alignment horizontal="center" vertical="center"/>
      <protection hidden="1"/>
    </xf>
    <xf numFmtId="0" fontId="14" fillId="24" borderId="17" xfId="44" applyFont="1" applyFill="1" applyBorder="1" applyAlignment="1" applyProtection="1">
      <alignment horizontal="centerContinuous" vertical="center"/>
      <protection hidden="1"/>
    </xf>
    <xf numFmtId="0" fontId="14" fillId="24" borderId="18" xfId="44" applyFont="1" applyFill="1" applyBorder="1" applyAlignment="1" applyProtection="1">
      <alignment horizontal="centerContinuous" vertical="center"/>
      <protection hidden="1"/>
    </xf>
    <xf numFmtId="0" fontId="14" fillId="24" borderId="19" xfId="44" applyFont="1" applyFill="1" applyBorder="1" applyAlignment="1" applyProtection="1">
      <alignment horizontal="centerContinuous" vertical="center"/>
      <protection hidden="1"/>
    </xf>
    <xf numFmtId="164" fontId="14" fillId="24" borderId="0" xfId="44" applyNumberFormat="1" applyFont="1" applyFill="1" applyBorder="1" applyAlignment="1" applyProtection="1">
      <alignment horizontal="center" vertical="center"/>
      <protection hidden="1"/>
    </xf>
    <xf numFmtId="10" fontId="14" fillId="24" borderId="20" xfId="44" applyNumberFormat="1" applyFont="1" applyFill="1" applyBorder="1" applyAlignment="1" applyProtection="1">
      <alignment horizontal="center" vertical="center"/>
      <protection hidden="1"/>
    </xf>
    <xf numFmtId="0" fontId="14" fillId="24" borderId="20" xfId="44" applyFont="1" applyFill="1" applyBorder="1" applyAlignment="1" applyProtection="1">
      <alignment horizontal="center" vertical="center"/>
      <protection hidden="1"/>
    </xf>
    <xf numFmtId="0" fontId="10" fillId="24" borderId="0" xfId="44" applyFont="1" applyFill="1" applyBorder="1" applyAlignment="1" applyProtection="1">
      <alignment horizontal="center" vertical="center"/>
      <protection hidden="1"/>
    </xf>
    <xf numFmtId="2" fontId="14" fillId="0" borderId="0" xfId="44" applyNumberFormat="1" applyFont="1" applyFill="1" applyBorder="1" applyAlignment="1" applyProtection="1">
      <alignment vertical="center"/>
      <protection hidden="1"/>
    </xf>
    <xf numFmtId="0" fontId="14" fillId="24" borderId="15" xfId="44" applyFont="1" applyFill="1" applyBorder="1" applyAlignment="1" applyProtection="1">
      <alignment horizontal="right" vertical="center"/>
      <protection hidden="1"/>
    </xf>
    <xf numFmtId="0" fontId="12" fillId="24" borderId="0" xfId="44" applyFont="1" applyFill="1" applyBorder="1" applyAlignment="1" applyProtection="1">
      <alignment horizontal="left" vertical="center"/>
      <protection hidden="1"/>
    </xf>
    <xf numFmtId="0" fontId="14" fillId="0" borderId="0" xfId="44" applyFont="1" applyFill="1" applyBorder="1" applyAlignment="1" applyProtection="1">
      <alignment horizontal="left" vertical="center"/>
      <protection hidden="1"/>
    </xf>
    <xf numFmtId="2" fontId="14" fillId="24" borderId="9" xfId="44" applyNumberFormat="1" applyFont="1" applyFill="1" applyBorder="1" applyAlignment="1" applyProtection="1">
      <alignment horizontal="center" vertical="center"/>
      <protection hidden="1"/>
    </xf>
    <xf numFmtId="2" fontId="14" fillId="24" borderId="0" xfId="44" applyNumberFormat="1" applyFont="1" applyFill="1" applyBorder="1" applyAlignment="1" applyProtection="1">
      <alignment horizontal="center" vertical="center"/>
      <protection hidden="1"/>
    </xf>
    <xf numFmtId="0" fontId="20" fillId="24" borderId="15" xfId="44" applyFont="1" applyFill="1" applyBorder="1" applyAlignment="1" applyProtection="1">
      <alignment vertical="center"/>
      <protection hidden="1"/>
    </xf>
    <xf numFmtId="0" fontId="2" fillId="24" borderId="0" xfId="44" applyFont="1" applyFill="1" applyBorder="1" applyAlignment="1" applyProtection="1">
      <alignment vertical="center"/>
      <protection hidden="1"/>
    </xf>
    <xf numFmtId="0" fontId="19" fillId="24" borderId="0" xfId="44" applyFont="1" applyFill="1" applyBorder="1" applyAlignment="1" applyProtection="1">
      <alignment horizontal="center" vertical="center"/>
      <protection hidden="1"/>
    </xf>
    <xf numFmtId="0" fontId="14" fillId="24" borderId="0" xfId="44" applyFont="1" applyFill="1" applyBorder="1" applyAlignment="1" applyProtection="1">
      <alignment horizontal="right" vertical="center"/>
      <protection hidden="1"/>
    </xf>
    <xf numFmtId="2" fontId="10" fillId="0" borderId="0" xfId="44" applyNumberFormat="1" applyFont="1" applyFill="1" applyBorder="1" applyAlignment="1" applyProtection="1">
      <alignment horizontal="center" vertical="center"/>
      <protection hidden="1"/>
    </xf>
    <xf numFmtId="2" fontId="14" fillId="24" borderId="8" xfId="44" applyNumberFormat="1" applyFont="1" applyFill="1" applyBorder="1" applyAlignment="1" applyProtection="1">
      <alignment horizontal="center" vertical="center"/>
      <protection hidden="1"/>
    </xf>
    <xf numFmtId="2" fontId="14" fillId="24" borderId="0" xfId="44" applyNumberFormat="1" applyFont="1" applyFill="1" applyAlignment="1" applyProtection="1">
      <alignment horizontal="center" vertical="center"/>
      <protection hidden="1"/>
    </xf>
    <xf numFmtId="2" fontId="13" fillId="0" borderId="0" xfId="44" applyNumberFormat="1" applyFont="1" applyFill="1" applyBorder="1" applyAlignment="1" applyProtection="1">
      <alignment horizontal="centerContinuous" vertical="center"/>
      <protection hidden="1"/>
    </xf>
    <xf numFmtId="2" fontId="42" fillId="0" borderId="0" xfId="44" applyNumberFormat="1" applyFont="1" applyFill="1" applyBorder="1" applyAlignment="1" applyProtection="1">
      <alignment horizontal="centerContinuous" vertical="center"/>
      <protection hidden="1"/>
    </xf>
    <xf numFmtId="2" fontId="14" fillId="0" borderId="0" xfId="44" applyNumberFormat="1" applyFont="1" applyFill="1" applyBorder="1" applyAlignment="1" applyProtection="1">
      <alignment horizontal="centerContinuous" vertical="center"/>
      <protection hidden="1"/>
    </xf>
    <xf numFmtId="0" fontId="2" fillId="0" borderId="0" xfId="44" applyFont="1" applyFill="1" applyBorder="1" applyAlignment="1" applyProtection="1">
      <alignment horizontal="right" vertical="center"/>
      <protection hidden="1"/>
    </xf>
    <xf numFmtId="0" fontId="2" fillId="24" borderId="0" xfId="44" applyFont="1" applyFill="1" applyAlignment="1" applyProtection="1">
      <alignment vertical="center"/>
      <protection hidden="1"/>
    </xf>
    <xf numFmtId="0" fontId="9" fillId="24" borderId="16" xfId="44" applyFont="1" applyFill="1" applyBorder="1" applyAlignment="1" applyProtection="1">
      <alignment horizontal="left" vertical="center"/>
      <protection hidden="1"/>
    </xf>
    <xf numFmtId="0" fontId="2" fillId="24" borderId="0" xfId="44" applyFont="1" applyFill="1" applyBorder="1" applyAlignment="1" applyProtection="1">
      <alignment horizontal="right" vertical="center"/>
      <protection hidden="1"/>
    </xf>
    <xf numFmtId="0" fontId="19" fillId="24" borderId="0" xfId="44" applyFont="1" applyFill="1" applyBorder="1" applyAlignment="1" applyProtection="1">
      <alignment horizontal="right" vertical="center"/>
      <protection hidden="1"/>
    </xf>
    <xf numFmtId="164" fontId="14" fillId="0" borderId="0" xfId="44" applyNumberFormat="1" applyFont="1" applyFill="1" applyBorder="1" applyAlignment="1" applyProtection="1">
      <alignment horizontal="center" vertical="center"/>
      <protection hidden="1"/>
    </xf>
    <xf numFmtId="0" fontId="10" fillId="24" borderId="0" xfId="44" applyFont="1" applyFill="1" applyAlignment="1" applyProtection="1">
      <alignment horizontal="left" vertical="center"/>
      <protection hidden="1"/>
    </xf>
    <xf numFmtId="0" fontId="19" fillId="0" borderId="0" xfId="44" applyFont="1" applyFill="1" applyBorder="1" applyAlignment="1" applyProtection="1">
      <alignment horizontal="right" vertical="center"/>
      <protection hidden="1"/>
    </xf>
    <xf numFmtId="2" fontId="19" fillId="0" borderId="0" xfId="44" applyNumberFormat="1" applyFont="1" applyFill="1" applyBorder="1" applyAlignment="1" applyProtection="1">
      <alignment horizontal="center" vertical="center"/>
      <protection hidden="1"/>
    </xf>
    <xf numFmtId="0" fontId="10" fillId="0" borderId="0" xfId="44" applyFont="1" applyFill="1" applyBorder="1" applyAlignment="1" applyProtection="1">
      <alignment horizontal="left" vertical="center"/>
      <protection hidden="1"/>
    </xf>
    <xf numFmtId="2" fontId="14" fillId="24" borderId="21" xfId="44" applyNumberFormat="1" applyFont="1" applyFill="1" applyBorder="1" applyAlignment="1" applyProtection="1">
      <alignment horizontal="center" vertical="center"/>
      <protection hidden="1"/>
    </xf>
    <xf numFmtId="0" fontId="2" fillId="24" borderId="15" xfId="44" applyFont="1" applyFill="1" applyBorder="1" applyAlignment="1" applyProtection="1">
      <alignment horizontal="left" vertical="center"/>
      <protection hidden="1"/>
    </xf>
    <xf numFmtId="2" fontId="18" fillId="0" borderId="0" xfId="44" applyNumberFormat="1" applyFont="1" applyFill="1" applyBorder="1" applyAlignment="1" applyProtection="1">
      <alignment horizontal="left" vertical="center"/>
      <protection hidden="1"/>
    </xf>
    <xf numFmtId="0" fontId="14" fillId="24" borderId="0" xfId="44" applyFont="1" applyFill="1" applyAlignment="1" applyProtection="1">
      <alignment vertical="center"/>
      <protection hidden="1"/>
    </xf>
    <xf numFmtId="164" fontId="14" fillId="0" borderId="0" xfId="44" applyNumberFormat="1" applyFont="1" applyFill="1" applyBorder="1" applyAlignment="1" applyProtection="1">
      <alignment vertical="center"/>
      <protection hidden="1"/>
    </xf>
    <xf numFmtId="2" fontId="10" fillId="0" borderId="0" xfId="44" applyNumberFormat="1" applyFont="1" applyFill="1" applyBorder="1" applyAlignment="1" applyProtection="1">
      <alignment vertical="center"/>
      <protection hidden="1"/>
    </xf>
    <xf numFmtId="0" fontId="2" fillId="24" borderId="15" xfId="44" applyFont="1" applyFill="1" applyBorder="1" applyAlignment="1" applyProtection="1">
      <alignment vertical="center"/>
      <protection hidden="1"/>
    </xf>
    <xf numFmtId="2" fontId="15" fillId="0" borderId="0" xfId="44" applyNumberFormat="1" applyFont="1" applyFill="1" applyBorder="1" applyAlignment="1" applyProtection="1">
      <alignment horizontal="left" vertical="center"/>
      <protection hidden="1"/>
    </xf>
    <xf numFmtId="0" fontId="2" fillId="24" borderId="15" xfId="44" applyFont="1" applyFill="1" applyBorder="1" applyAlignment="1" applyProtection="1">
      <alignment horizontal="right" vertical="center"/>
      <protection hidden="1"/>
    </xf>
    <xf numFmtId="0" fontId="15" fillId="0" borderId="0" xfId="44" applyFont="1" applyFill="1" applyBorder="1" applyAlignment="1" applyProtection="1">
      <alignment vertical="center"/>
      <protection hidden="1"/>
    </xf>
    <xf numFmtId="0" fontId="24" fillId="0" borderId="0" xfId="44" applyFont="1" applyFill="1" applyBorder="1" applyAlignment="1" applyProtection="1">
      <alignment vertical="center"/>
      <protection hidden="1"/>
    </xf>
    <xf numFmtId="0" fontId="2" fillId="0" borderId="15" xfId="44" applyFont="1" applyFill="1" applyBorder="1" applyAlignment="1" applyProtection="1">
      <alignment vertical="center"/>
      <protection hidden="1"/>
    </xf>
    <xf numFmtId="0" fontId="20" fillId="0" borderId="15" xfId="44" applyFont="1" applyFill="1" applyBorder="1" applyAlignment="1" applyProtection="1">
      <alignment vertical="center"/>
      <protection hidden="1"/>
    </xf>
    <xf numFmtId="0" fontId="22" fillId="0" borderId="0" xfId="44" applyFont="1" applyFill="1" applyBorder="1" applyAlignment="1" applyProtection="1">
      <alignment horizontal="left" vertical="center"/>
      <protection hidden="1"/>
    </xf>
    <xf numFmtId="10" fontId="14" fillId="24" borderId="16" xfId="44" applyNumberFormat="1" applyFont="1" applyFill="1" applyBorder="1" applyAlignment="1" applyProtection="1">
      <alignment horizontal="center" vertical="center"/>
      <protection hidden="1"/>
    </xf>
    <xf numFmtId="0" fontId="19" fillId="24" borderId="0" xfId="44" applyFont="1" applyFill="1" applyBorder="1" applyAlignment="1" applyProtection="1">
      <alignment vertical="center"/>
      <protection hidden="1"/>
    </xf>
    <xf numFmtId="0" fontId="2" fillId="24" borderId="16" xfId="44" applyFont="1" applyFill="1" applyBorder="1" applyAlignment="1" applyProtection="1">
      <alignment vertical="center"/>
      <protection hidden="1"/>
    </xf>
    <xf numFmtId="0" fontId="14" fillId="24" borderId="0" xfId="44" applyFont="1" applyFill="1" applyAlignment="1" applyProtection="1">
      <alignment horizontal="right" vertical="center"/>
      <protection hidden="1"/>
    </xf>
    <xf numFmtId="2" fontId="14" fillId="0" borderId="9" xfId="44" applyNumberFormat="1" applyFont="1" applyFill="1" applyBorder="1" applyAlignment="1" applyProtection="1">
      <alignment horizontal="center" vertical="center"/>
      <protection hidden="1"/>
    </xf>
    <xf numFmtId="2" fontId="14" fillId="0" borderId="8" xfId="44" applyNumberFormat="1" applyFont="1" applyFill="1" applyBorder="1" applyAlignment="1" applyProtection="1">
      <alignment horizontal="center" vertical="center"/>
      <protection hidden="1"/>
    </xf>
    <xf numFmtId="0" fontId="19" fillId="0" borderId="0" xfId="44" applyFont="1" applyFill="1" applyBorder="1" applyAlignment="1" applyProtection="1">
      <alignment horizontal="center" vertical="center"/>
      <protection hidden="1"/>
    </xf>
    <xf numFmtId="2" fontId="16" fillId="0" borderId="0" xfId="44" applyNumberFormat="1" applyFont="1" applyFill="1" applyBorder="1" applyAlignment="1" applyProtection="1">
      <alignment horizontal="center" vertical="center"/>
      <protection hidden="1"/>
    </xf>
    <xf numFmtId="164" fontId="14" fillId="0" borderId="9" xfId="44" applyNumberFormat="1" applyFont="1" applyFill="1" applyBorder="1" applyAlignment="1" applyProtection="1">
      <alignment horizontal="center" vertical="center"/>
      <protection hidden="1"/>
    </xf>
    <xf numFmtId="0" fontId="2" fillId="0" borderId="0" xfId="44" applyFont="1" applyFill="1" applyBorder="1" applyAlignment="1" applyProtection="1">
      <alignment horizontal="left" vertical="center"/>
      <protection hidden="1"/>
    </xf>
    <xf numFmtId="2" fontId="15" fillId="0" borderId="0" xfId="44" applyNumberFormat="1" applyFont="1" applyFill="1" applyBorder="1" applyAlignment="1" applyProtection="1">
      <alignment horizontal="center" vertical="center"/>
      <protection hidden="1"/>
    </xf>
    <xf numFmtId="0" fontId="15" fillId="0" borderId="16" xfId="44" applyFont="1" applyFill="1" applyBorder="1" applyAlignment="1" applyProtection="1">
      <alignment vertical="center"/>
      <protection hidden="1"/>
    </xf>
    <xf numFmtId="0" fontId="14" fillId="24" borderId="0" xfId="44" applyFont="1" applyFill="1" applyBorder="1" applyAlignment="1" applyProtection="1">
      <alignment horizontal="left" vertical="center"/>
      <protection hidden="1"/>
    </xf>
    <xf numFmtId="164" fontId="14" fillId="0" borderId="21" xfId="44" applyNumberFormat="1" applyFont="1" applyFill="1" applyBorder="1" applyAlignment="1" applyProtection="1">
      <alignment horizontal="center" vertical="center"/>
      <protection hidden="1"/>
    </xf>
    <xf numFmtId="0" fontId="10" fillId="24" borderId="16" xfId="44" applyFont="1" applyFill="1" applyBorder="1" applyAlignment="1" applyProtection="1">
      <alignment vertical="center"/>
      <protection hidden="1"/>
    </xf>
    <xf numFmtId="2" fontId="14" fillId="0" borderId="21" xfId="44" applyNumberFormat="1" applyFont="1" applyFill="1" applyBorder="1" applyAlignment="1" applyProtection="1">
      <alignment horizontal="center" vertical="center"/>
      <protection hidden="1"/>
    </xf>
    <xf numFmtId="2" fontId="14" fillId="0" borderId="0" xfId="44" applyNumberFormat="1" applyFont="1" applyFill="1" applyBorder="1" applyAlignment="1" applyProtection="1">
      <alignment horizontal="center" vertical="center"/>
      <protection hidden="1"/>
    </xf>
    <xf numFmtId="0" fontId="2" fillId="0" borderId="0" xfId="44" applyFont="1" applyFill="1" applyBorder="1" applyAlignment="1" applyProtection="1">
      <alignment vertical="center"/>
      <protection hidden="1"/>
    </xf>
    <xf numFmtId="164" fontId="14" fillId="0" borderId="0" xfId="44" applyNumberFormat="1" applyFont="1" applyFill="1" applyBorder="1" applyAlignment="1" applyProtection="1">
      <alignment horizontal="right" vertical="center"/>
      <protection hidden="1"/>
    </xf>
    <xf numFmtId="164" fontId="14" fillId="24" borderId="9" xfId="44" applyNumberFormat="1" applyFont="1" applyFill="1" applyBorder="1" applyAlignment="1" applyProtection="1">
      <alignment horizontal="center" vertical="center"/>
      <protection hidden="1"/>
    </xf>
    <xf numFmtId="0" fontId="25" fillId="0" borderId="0" xfId="44" applyFont="1" applyFill="1" applyBorder="1" applyAlignment="1" applyProtection="1">
      <alignment horizontal="right" vertical="center"/>
      <protection hidden="1"/>
    </xf>
    <xf numFmtId="164" fontId="14" fillId="24" borderId="21" xfId="44" applyNumberFormat="1" applyFont="1" applyFill="1" applyBorder="1" applyAlignment="1" applyProtection="1">
      <alignment horizontal="center" vertical="center"/>
      <protection hidden="1"/>
    </xf>
    <xf numFmtId="0" fontId="15" fillId="24" borderId="0" xfId="44" applyFont="1" applyFill="1" applyBorder="1" applyAlignment="1" applyProtection="1">
      <alignment horizontal="left" vertical="center"/>
      <protection hidden="1"/>
    </xf>
    <xf numFmtId="0" fontId="10" fillId="24" borderId="22" xfId="44" applyFont="1" applyFill="1" applyBorder="1" applyAlignment="1" applyProtection="1">
      <alignment horizontal="centerContinuous" vertical="center"/>
      <protection hidden="1"/>
    </xf>
    <xf numFmtId="0" fontId="10" fillId="24" borderId="23" xfId="44" applyFont="1" applyFill="1" applyBorder="1" applyAlignment="1" applyProtection="1">
      <alignment horizontal="centerContinuous" vertical="center"/>
      <protection hidden="1"/>
    </xf>
    <xf numFmtId="164" fontId="12" fillId="24" borderId="23" xfId="44" applyNumberFormat="1" applyFont="1" applyFill="1" applyBorder="1" applyAlignment="1" applyProtection="1">
      <alignment horizontal="centerContinuous" vertical="center"/>
      <protection hidden="1"/>
    </xf>
    <xf numFmtId="0" fontId="10" fillId="24" borderId="24" xfId="44" applyFont="1" applyFill="1" applyBorder="1" applyAlignment="1" applyProtection="1">
      <alignment horizontal="centerContinuous" vertical="center"/>
      <protection hidden="1"/>
    </xf>
    <xf numFmtId="0" fontId="38" fillId="24" borderId="10" xfId="44" applyFont="1" applyFill="1" applyBorder="1" applyAlignment="1" applyProtection="1">
      <alignment horizontal="center" vertical="center"/>
      <protection hidden="1"/>
    </xf>
    <xf numFmtId="0" fontId="14" fillId="24" borderId="9" xfId="44" applyFont="1" applyFill="1" applyBorder="1" applyAlignment="1" applyProtection="1">
      <alignment horizontal="center" vertical="center"/>
      <protection hidden="1"/>
    </xf>
    <xf numFmtId="0" fontId="23" fillId="24" borderId="0" xfId="44" applyFont="1" applyFill="1" applyBorder="1" applyAlignment="1" applyProtection="1">
      <alignment horizontal="right" vertical="center"/>
      <protection hidden="1"/>
    </xf>
    <xf numFmtId="0" fontId="14" fillId="24" borderId="8" xfId="44" applyFont="1" applyFill="1" applyBorder="1" applyAlignment="1" applyProtection="1">
      <alignment horizontal="center" vertical="center"/>
      <protection hidden="1"/>
    </xf>
    <xf numFmtId="164" fontId="12" fillId="24" borderId="0" xfId="44" applyNumberFormat="1" applyFont="1" applyFill="1" applyBorder="1" applyAlignment="1" applyProtection="1">
      <alignment horizontal="left" vertical="center"/>
      <protection hidden="1"/>
    </xf>
    <xf numFmtId="0" fontId="15" fillId="0" borderId="0" xfId="44" applyFont="1" applyFill="1" applyBorder="1" applyAlignment="1" applyProtection="1">
      <alignment horizontal="center" vertical="center"/>
      <protection hidden="1"/>
    </xf>
    <xf numFmtId="0" fontId="15" fillId="24" borderId="16" xfId="44" applyFont="1" applyFill="1" applyBorder="1" applyAlignment="1" applyProtection="1">
      <alignment vertical="center"/>
      <protection hidden="1"/>
    </xf>
    <xf numFmtId="0" fontId="10" fillId="24" borderId="9" xfId="44" applyFont="1" applyFill="1" applyBorder="1" applyAlignment="1" applyProtection="1">
      <alignment horizontal="center" vertical="center"/>
      <protection hidden="1"/>
    </xf>
    <xf numFmtId="0" fontId="14" fillId="0" borderId="0" xfId="46" applyFont="1" applyBorder="1" applyAlignment="1" applyProtection="1">
      <alignment vertical="center"/>
      <protection hidden="1"/>
    </xf>
    <xf numFmtId="0" fontId="14" fillId="24" borderId="21" xfId="44" applyFont="1" applyFill="1" applyBorder="1" applyAlignment="1" applyProtection="1">
      <alignment horizontal="center" vertical="center"/>
      <protection hidden="1"/>
    </xf>
    <xf numFmtId="0" fontId="10" fillId="24" borderId="8" xfId="44" applyFont="1" applyFill="1" applyBorder="1" applyAlignment="1" applyProtection="1">
      <alignment horizontal="center" vertical="center"/>
      <protection hidden="1"/>
    </xf>
    <xf numFmtId="0" fontId="10" fillId="24" borderId="0" xfId="44" applyFont="1" applyFill="1" applyAlignment="1" applyProtection="1">
      <alignment horizontal="center" vertical="center"/>
      <protection hidden="1"/>
    </xf>
    <xf numFmtId="0" fontId="14" fillId="24" borderId="24" xfId="44" applyFont="1" applyFill="1" applyBorder="1" applyAlignment="1" applyProtection="1">
      <alignment horizontal="centerContinuous" vertical="center"/>
      <protection hidden="1"/>
    </xf>
    <xf numFmtId="0" fontId="14" fillId="24" borderId="0" xfId="44" applyFont="1" applyFill="1" applyAlignment="1" applyProtection="1">
      <alignment horizontal="left" vertical="center"/>
      <protection hidden="1"/>
    </xf>
    <xf numFmtId="0" fontId="17" fillId="24" borderId="0" xfId="44" applyFont="1" applyFill="1" applyAlignment="1" applyProtection="1">
      <alignment horizontal="left" vertical="center"/>
      <protection hidden="1"/>
    </xf>
    <xf numFmtId="0" fontId="2" fillId="0" borderId="16" xfId="44" applyFont="1" applyFill="1" applyBorder="1" applyAlignment="1" applyProtection="1">
      <alignment vertical="center"/>
      <protection hidden="1"/>
    </xf>
    <xf numFmtId="164" fontId="14" fillId="0" borderId="8" xfId="44" applyNumberFormat="1" applyFont="1" applyFill="1" applyBorder="1" applyAlignment="1" applyProtection="1">
      <alignment horizontal="center" vertical="center"/>
      <protection hidden="1"/>
    </xf>
    <xf numFmtId="2" fontId="2" fillId="0" borderId="0" xfId="44" applyNumberFormat="1" applyFont="1" applyFill="1" applyBorder="1" applyAlignment="1" applyProtection="1">
      <alignment horizontal="center" vertical="center"/>
      <protection hidden="1"/>
    </xf>
    <xf numFmtId="164" fontId="14" fillId="24" borderId="8" xfId="44" applyNumberFormat="1" applyFont="1" applyFill="1" applyBorder="1" applyAlignment="1" applyProtection="1">
      <alignment horizontal="center" vertical="center"/>
      <protection hidden="1"/>
    </xf>
    <xf numFmtId="0" fontId="26" fillId="24" borderId="16" xfId="44" applyFont="1" applyFill="1" applyBorder="1" applyAlignment="1" applyProtection="1">
      <alignment vertical="center"/>
      <protection hidden="1"/>
    </xf>
    <xf numFmtId="164" fontId="2" fillId="0" borderId="0" xfId="44" applyNumberFormat="1" applyFont="1" applyFill="1" applyBorder="1" applyAlignment="1" applyProtection="1">
      <alignment horizontal="center" vertical="center"/>
      <protection hidden="1"/>
    </xf>
    <xf numFmtId="0" fontId="10" fillId="24" borderId="0" xfId="44" applyFont="1" applyFill="1" applyAlignment="1" applyProtection="1">
      <alignment horizontal="right" vertical="center"/>
      <protection hidden="1"/>
    </xf>
    <xf numFmtId="0" fontId="2" fillId="0" borderId="0" xfId="44" applyFont="1" applyFill="1" applyBorder="1" applyAlignment="1" applyProtection="1">
      <alignment horizontal="center" vertical="center"/>
      <protection hidden="1"/>
    </xf>
    <xf numFmtId="0" fontId="2" fillId="24" borderId="0" xfId="44" applyFont="1" applyFill="1" applyBorder="1" applyAlignment="1" applyProtection="1">
      <alignment horizontal="left" vertical="center"/>
      <protection hidden="1"/>
    </xf>
    <xf numFmtId="0" fontId="13" fillId="0" borderId="0" xfId="44" applyFont="1" applyFill="1" applyBorder="1" applyAlignment="1" applyProtection="1">
      <alignment vertical="center"/>
      <protection hidden="1"/>
    </xf>
    <xf numFmtId="0" fontId="27" fillId="24" borderId="15" xfId="44" applyFont="1" applyFill="1" applyBorder="1" applyAlignment="1" applyProtection="1">
      <alignment vertical="center"/>
      <protection hidden="1"/>
    </xf>
    <xf numFmtId="0" fontId="2" fillId="24" borderId="12" xfId="44" applyFont="1" applyFill="1" applyBorder="1" applyAlignment="1" applyProtection="1">
      <alignment vertical="center"/>
      <protection hidden="1"/>
    </xf>
    <xf numFmtId="0" fontId="2" fillId="24" borderId="13" xfId="44" applyFont="1" applyFill="1" applyBorder="1" applyAlignment="1" applyProtection="1">
      <alignment vertical="center"/>
      <protection hidden="1"/>
    </xf>
    <xf numFmtId="0" fontId="2" fillId="24" borderId="14" xfId="44" applyFont="1" applyFill="1" applyBorder="1" applyAlignment="1" applyProtection="1">
      <alignment vertical="center"/>
      <protection hidden="1"/>
    </xf>
    <xf numFmtId="0" fontId="20" fillId="24" borderId="15" xfId="44" applyFont="1" applyFill="1" applyBorder="1" applyAlignment="1" applyProtection="1">
      <alignment horizontal="left" vertical="center"/>
      <protection hidden="1"/>
    </xf>
    <xf numFmtId="0" fontId="14" fillId="0" borderId="0" xfId="46" applyFont="1" applyAlignment="1" applyProtection="1">
      <alignment horizontal="center" vertical="center"/>
      <protection hidden="1"/>
    </xf>
    <xf numFmtId="2" fontId="14" fillId="24" borderId="10" xfId="44" applyNumberFormat="1" applyFont="1" applyFill="1" applyBorder="1" applyAlignment="1" applyProtection="1">
      <alignment horizontal="center" vertical="center"/>
      <protection hidden="1"/>
    </xf>
    <xf numFmtId="0" fontId="17" fillId="24" borderId="0" xfId="44" applyFont="1" applyFill="1" applyAlignment="1" applyProtection="1">
      <alignment horizontal="right" vertical="center"/>
      <protection hidden="1"/>
    </xf>
    <xf numFmtId="164" fontId="10" fillId="24" borderId="0" xfId="44" applyNumberFormat="1" applyFont="1" applyFill="1" applyAlignment="1" applyProtection="1">
      <alignment horizontal="center" vertical="center"/>
      <protection hidden="1"/>
    </xf>
    <xf numFmtId="0" fontId="11" fillId="24" borderId="0" xfId="44" applyFont="1" applyFill="1" applyAlignment="1" applyProtection="1">
      <alignment vertical="center"/>
      <protection hidden="1"/>
    </xf>
    <xf numFmtId="2" fontId="10" fillId="24" borderId="0" xfId="44" applyNumberFormat="1" applyFont="1" applyFill="1" applyAlignment="1" applyProtection="1">
      <alignment horizontal="center" vertical="center"/>
      <protection hidden="1"/>
    </xf>
    <xf numFmtId="0" fontId="19" fillId="26" borderId="20" xfId="46" applyFont="1" applyFill="1" applyBorder="1" applyAlignment="1" applyProtection="1">
      <alignment horizontal="center"/>
      <protection hidden="1"/>
    </xf>
    <xf numFmtId="0" fontId="19" fillId="26" borderId="13" xfId="46" applyFont="1" applyFill="1" applyBorder="1" applyAlignment="1" applyProtection="1">
      <alignment horizontal="center"/>
      <protection hidden="1"/>
    </xf>
    <xf numFmtId="0" fontId="40" fillId="26" borderId="20" xfId="46" applyFont="1" applyFill="1" applyBorder="1" applyAlignment="1" applyProtection="1">
      <alignment horizontal="center"/>
      <protection hidden="1"/>
    </xf>
    <xf numFmtId="0" fontId="19" fillId="26" borderId="11" xfId="46" applyFont="1" applyFill="1" applyBorder="1" applyAlignment="1" applyProtection="1">
      <alignment horizontal="center" vertical="top"/>
      <protection hidden="1"/>
    </xf>
    <xf numFmtId="0" fontId="19" fillId="26" borderId="11" xfId="46" applyFont="1" applyFill="1" applyBorder="1" applyAlignment="1" applyProtection="1">
      <alignment horizontal="center"/>
      <protection hidden="1"/>
    </xf>
    <xf numFmtId="0" fontId="37" fillId="26" borderId="11" xfId="44" applyFont="1" applyFill="1" applyBorder="1" applyAlignment="1" applyProtection="1">
      <alignment horizontal="center" vertical="center"/>
      <protection hidden="1"/>
    </xf>
    <xf numFmtId="0" fontId="37" fillId="26" borderId="11" xfId="46" applyFont="1" applyFill="1" applyBorder="1" applyAlignment="1" applyProtection="1">
      <alignment horizontal="center"/>
      <protection hidden="1"/>
    </xf>
    <xf numFmtId="0" fontId="37" fillId="26" borderId="18" xfId="46" applyFont="1" applyFill="1" applyBorder="1" applyAlignment="1" applyProtection="1">
      <alignment horizontal="center"/>
      <protection hidden="1"/>
    </xf>
    <xf numFmtId="166" fontId="14" fillId="0" borderId="9" xfId="46" applyNumberFormat="1" applyFont="1" applyBorder="1" applyAlignment="1" applyProtection="1">
      <alignment horizontal="center"/>
      <protection hidden="1"/>
    </xf>
    <xf numFmtId="2" fontId="14" fillId="0" borderId="9" xfId="46" applyNumberFormat="1" applyFont="1" applyBorder="1" applyAlignment="1" applyProtection="1">
      <alignment horizontal="center"/>
      <protection hidden="1"/>
    </xf>
    <xf numFmtId="166" fontId="14" fillId="0" borderId="8" xfId="46" applyNumberFormat="1" applyFont="1" applyBorder="1" applyAlignment="1" applyProtection="1">
      <alignment horizontal="center"/>
      <protection hidden="1"/>
    </xf>
    <xf numFmtId="2" fontId="14" fillId="0" borderId="8" xfId="46" applyNumberFormat="1" applyFont="1" applyBorder="1" applyAlignment="1" applyProtection="1">
      <alignment horizontal="center"/>
      <protection hidden="1"/>
    </xf>
    <xf numFmtId="0" fontId="14" fillId="0" borderId="23" xfId="46" applyFont="1" applyBorder="1" applyAlignment="1" applyProtection="1">
      <alignment horizontal="center"/>
      <protection hidden="1"/>
    </xf>
    <xf numFmtId="166" fontId="14" fillId="0" borderId="10" xfId="46" applyNumberFormat="1" applyFont="1" applyBorder="1" applyAlignment="1" applyProtection="1">
      <alignment horizontal="center"/>
      <protection hidden="1"/>
    </xf>
    <xf numFmtId="164" fontId="14" fillId="0" borderId="10" xfId="46" applyNumberFormat="1" applyFont="1" applyBorder="1" applyAlignment="1" applyProtection="1">
      <alignment horizontal="center"/>
      <protection hidden="1"/>
    </xf>
    <xf numFmtId="2" fontId="14" fillId="0" borderId="10" xfId="46" applyNumberFormat="1" applyFont="1" applyBorder="1" applyAlignment="1" applyProtection="1">
      <alignment horizontal="center"/>
      <protection hidden="1"/>
    </xf>
    <xf numFmtId="0" fontId="14" fillId="0" borderId="10" xfId="46" applyFont="1" applyFill="1" applyBorder="1" applyAlignment="1" applyProtection="1">
      <alignment horizontal="center"/>
      <protection hidden="1"/>
    </xf>
    <xf numFmtId="0" fontId="15" fillId="0" borderId="16" xfId="44" applyFont="1" applyFill="1" applyBorder="1" applyAlignment="1" applyProtection="1">
      <alignment horizontal="right" vertical="center"/>
      <protection hidden="1"/>
    </xf>
    <xf numFmtId="0" fontId="2" fillId="0" borderId="0" xfId="46" applyFont="1" applyProtection="1">
      <protection hidden="1"/>
    </xf>
    <xf numFmtId="0" fontId="19" fillId="24" borderId="0" xfId="46" applyFont="1" applyFill="1" applyBorder="1" applyAlignment="1" applyProtection="1">
      <protection hidden="1"/>
    </xf>
    <xf numFmtId="0" fontId="2" fillId="24" borderId="0" xfId="46" applyFont="1" applyFill="1" applyBorder="1" applyProtection="1">
      <protection hidden="1"/>
    </xf>
    <xf numFmtId="0" fontId="2" fillId="0" borderId="0" xfId="46" applyFont="1" applyAlignment="1" applyProtection="1">
      <alignment horizontal="right"/>
      <protection hidden="1"/>
    </xf>
    <xf numFmtId="0" fontId="2" fillId="0" borderId="0" xfId="46" applyFont="1" applyBorder="1" applyProtection="1">
      <protection hidden="1"/>
    </xf>
    <xf numFmtId="0" fontId="19" fillId="0" borderId="0" xfId="46" applyFont="1" applyBorder="1" applyProtection="1">
      <protection hidden="1"/>
    </xf>
    <xf numFmtId="0" fontId="29" fillId="24" borderId="0" xfId="44" applyFont="1" applyFill="1" applyBorder="1" applyAlignment="1" applyProtection="1">
      <alignment vertical="center"/>
      <protection hidden="1"/>
    </xf>
    <xf numFmtId="2" fontId="10" fillId="24" borderId="0" xfId="44" applyNumberFormat="1" applyFont="1" applyFill="1" applyBorder="1" applyAlignment="1" applyProtection="1">
      <alignment horizontal="center" vertical="center"/>
      <protection hidden="1"/>
    </xf>
    <xf numFmtId="0" fontId="26" fillId="24" borderId="0" xfId="44" applyFont="1" applyFill="1" applyBorder="1" applyAlignment="1" applyProtection="1">
      <alignment vertical="center"/>
      <protection hidden="1"/>
    </xf>
    <xf numFmtId="2" fontId="10" fillId="24" borderId="0" xfId="44" applyNumberFormat="1" applyFont="1" applyFill="1" applyBorder="1" applyAlignment="1" applyProtection="1">
      <alignment horizontal="right" vertical="center"/>
      <protection hidden="1"/>
    </xf>
    <xf numFmtId="2" fontId="14" fillId="24" borderId="0" xfId="44" applyNumberFormat="1" applyFont="1" applyFill="1" applyBorder="1" applyAlignment="1" applyProtection="1">
      <alignment horizontal="right" vertical="center"/>
      <protection hidden="1"/>
    </xf>
    <xf numFmtId="2" fontId="10" fillId="24" borderId="0" xfId="44" applyNumberFormat="1" applyFont="1" applyFill="1" applyBorder="1" applyAlignment="1" applyProtection="1">
      <alignment vertical="center"/>
      <protection hidden="1"/>
    </xf>
    <xf numFmtId="0" fontId="10" fillId="24" borderId="0" xfId="44" applyFont="1" applyFill="1" applyBorder="1" applyAlignment="1" applyProtection="1">
      <alignment horizontal="right" vertical="center"/>
      <protection hidden="1"/>
    </xf>
    <xf numFmtId="0" fontId="16" fillId="24" borderId="0" xfId="44" applyFont="1" applyFill="1" applyBorder="1" applyAlignment="1" applyProtection="1">
      <alignment horizontal="center" vertical="center"/>
      <protection hidden="1"/>
    </xf>
    <xf numFmtId="0" fontId="26" fillId="0" borderId="0" xfId="44" applyFont="1" applyFill="1" applyBorder="1" applyAlignment="1" applyProtection="1">
      <alignment horizontal="right" vertical="center"/>
      <protection hidden="1"/>
    </xf>
    <xf numFmtId="0" fontId="26" fillId="0" borderId="0" xfId="44" applyFont="1" applyFill="1" applyBorder="1" applyAlignment="1" applyProtection="1">
      <alignment horizontal="left" vertical="center"/>
      <protection hidden="1"/>
    </xf>
    <xf numFmtId="0" fontId="15" fillId="0" borderId="0" xfId="44" applyFont="1" applyFill="1" applyBorder="1" applyAlignment="1" applyProtection="1">
      <alignment horizontal="right" vertical="center"/>
      <protection hidden="1"/>
    </xf>
    <xf numFmtId="10" fontId="8" fillId="0" borderId="0" xfId="44" applyNumberFormat="1" applyFont="1" applyFill="1" applyBorder="1" applyAlignment="1" applyProtection="1">
      <alignment horizontal="center" vertical="center"/>
      <protection hidden="1"/>
    </xf>
    <xf numFmtId="0" fontId="11" fillId="24" borderId="0" xfId="44" applyFont="1" applyFill="1" applyBorder="1" applyAlignment="1" applyProtection="1">
      <alignment horizontal="left" vertical="center"/>
      <protection hidden="1"/>
    </xf>
    <xf numFmtId="2" fontId="14" fillId="24" borderId="0" xfId="44" applyNumberFormat="1" applyFont="1" applyFill="1" applyAlignment="1" applyProtection="1">
      <alignment horizontal="left" vertical="center"/>
      <protection hidden="1"/>
    </xf>
    <xf numFmtId="0" fontId="10" fillId="24" borderId="0" xfId="44" applyFont="1" applyFill="1" applyBorder="1" applyAlignment="1" applyProtection="1">
      <alignment horizontal="left" vertical="center"/>
      <protection hidden="1"/>
    </xf>
    <xf numFmtId="0" fontId="17" fillId="24" borderId="0" xfId="44" applyFont="1" applyFill="1" applyBorder="1" applyAlignment="1" applyProtection="1">
      <alignment horizontal="right" vertical="center"/>
      <protection hidden="1"/>
    </xf>
    <xf numFmtId="164" fontId="14" fillId="24" borderId="0" xfId="44" applyNumberFormat="1" applyFont="1" applyFill="1" applyAlignment="1" applyProtection="1">
      <alignment horizontal="center" vertical="center"/>
      <protection hidden="1"/>
    </xf>
    <xf numFmtId="10" fontId="30" fillId="0" borderId="0" xfId="44" applyNumberFormat="1" applyFont="1" applyFill="1" applyBorder="1" applyAlignment="1" applyProtection="1">
      <alignment horizontal="center" vertical="center"/>
      <protection hidden="1"/>
    </xf>
    <xf numFmtId="164" fontId="11" fillId="24" borderId="0" xfId="44" applyNumberFormat="1" applyFont="1" applyFill="1" applyBorder="1" applyAlignment="1" applyProtection="1">
      <alignment horizontal="left" vertical="center"/>
      <protection hidden="1"/>
    </xf>
    <xf numFmtId="0" fontId="20" fillId="0" borderId="0" xfId="44" applyFont="1" applyFill="1" applyBorder="1" applyAlignment="1" applyProtection="1">
      <alignment horizontal="right" vertical="center"/>
      <protection hidden="1"/>
    </xf>
    <xf numFmtId="0" fontId="2" fillId="24" borderId="0" xfId="44" applyFont="1" applyFill="1" applyBorder="1" applyAlignment="1" applyProtection="1">
      <alignment horizontal="center" vertical="center"/>
      <protection hidden="1"/>
    </xf>
    <xf numFmtId="2" fontId="14" fillId="24" borderId="0" xfId="44" quotePrefix="1" applyNumberFormat="1" applyFont="1" applyFill="1" applyAlignment="1" applyProtection="1">
      <alignment horizontal="center" vertical="center"/>
      <protection hidden="1"/>
    </xf>
    <xf numFmtId="14" fontId="2" fillId="24" borderId="0" xfId="44" applyNumberFormat="1" applyFont="1" applyFill="1" applyBorder="1" applyAlignment="1" applyProtection="1">
      <alignment horizontal="center" vertical="center"/>
      <protection hidden="1"/>
    </xf>
    <xf numFmtId="18" fontId="2" fillId="24" borderId="0" xfId="44" applyNumberFormat="1" applyFont="1" applyFill="1" applyBorder="1" applyAlignment="1" applyProtection="1">
      <alignment horizontal="center" vertical="center"/>
      <protection hidden="1"/>
    </xf>
    <xf numFmtId="165" fontId="14" fillId="24" borderId="0" xfId="44" applyNumberFormat="1" applyFont="1" applyFill="1" applyBorder="1" applyAlignment="1" applyProtection="1">
      <alignment horizontal="right" vertical="center"/>
      <protection hidden="1"/>
    </xf>
    <xf numFmtId="0" fontId="19" fillId="0" borderId="0" xfId="44" applyFont="1" applyBorder="1" applyAlignment="1" applyProtection="1">
      <alignment horizontal="center" vertical="center"/>
      <protection hidden="1"/>
    </xf>
    <xf numFmtId="0" fontId="14" fillId="24" borderId="0" xfId="44" applyNumberFormat="1" applyFont="1" applyFill="1" applyBorder="1" applyAlignment="1" applyProtection="1">
      <alignment horizontal="center" vertical="center"/>
      <protection hidden="1"/>
    </xf>
    <xf numFmtId="0" fontId="20" fillId="0" borderId="0" xfId="44" applyFont="1" applyFill="1" applyBorder="1" applyAlignment="1" applyProtection="1">
      <alignment vertical="center"/>
      <protection hidden="1"/>
    </xf>
    <xf numFmtId="0" fontId="21" fillId="0" borderId="0" xfId="44" applyFont="1" applyFill="1" applyBorder="1" applyAlignment="1" applyProtection="1">
      <alignment horizontal="right" vertical="center"/>
      <protection hidden="1"/>
    </xf>
    <xf numFmtId="0" fontId="25" fillId="0" borderId="0" xfId="44" applyFont="1" applyFill="1" applyBorder="1" applyAlignment="1" applyProtection="1">
      <alignment vertical="center"/>
      <protection hidden="1"/>
    </xf>
    <xf numFmtId="0" fontId="23" fillId="0" borderId="0" xfId="44" applyFont="1" applyFill="1" applyBorder="1" applyAlignment="1" applyProtection="1">
      <alignment vertical="center"/>
      <protection hidden="1"/>
    </xf>
    <xf numFmtId="0" fontId="8" fillId="0" borderId="0" xfId="44" applyFont="1" applyFill="1" applyBorder="1" applyAlignment="1" applyProtection="1">
      <alignment horizontal="right" vertical="center"/>
      <protection hidden="1"/>
    </xf>
    <xf numFmtId="0" fontId="26" fillId="0" borderId="0" xfId="44" applyFont="1" applyFill="1" applyBorder="1" applyAlignment="1" applyProtection="1">
      <alignment horizontal="center" vertical="center"/>
      <protection hidden="1"/>
    </xf>
    <xf numFmtId="0" fontId="26" fillId="0" borderId="0" xfId="44" applyFont="1" applyFill="1" applyBorder="1" applyAlignment="1" applyProtection="1">
      <alignment vertical="center"/>
      <protection hidden="1"/>
    </xf>
    <xf numFmtId="0" fontId="17" fillId="0" borderId="0" xfId="44" applyFont="1" applyFill="1" applyBorder="1" applyAlignment="1" applyProtection="1">
      <alignment horizontal="left" vertical="center"/>
      <protection hidden="1"/>
    </xf>
    <xf numFmtId="164" fontId="14" fillId="24" borderId="0" xfId="44" applyNumberFormat="1" applyFont="1" applyFill="1" applyBorder="1" applyAlignment="1" applyProtection="1">
      <alignment horizontal="right" vertical="center"/>
      <protection hidden="1"/>
    </xf>
    <xf numFmtId="165" fontId="14" fillId="24" borderId="0" xfId="44" applyNumberFormat="1" applyFont="1" applyFill="1" applyAlignment="1" applyProtection="1">
      <alignment horizontal="left" vertical="center"/>
      <protection hidden="1"/>
    </xf>
    <xf numFmtId="0" fontId="15" fillId="0" borderId="0" xfId="44" applyFont="1" applyFill="1" applyBorder="1" applyAlignment="1" applyProtection="1">
      <alignment horizontal="left" vertical="center"/>
      <protection hidden="1"/>
    </xf>
    <xf numFmtId="0" fontId="29" fillId="0" borderId="0" xfId="44" applyFont="1" applyFill="1" applyBorder="1" applyAlignment="1" applyProtection="1">
      <alignment horizontal="left" vertical="center"/>
      <protection hidden="1"/>
    </xf>
    <xf numFmtId="0" fontId="28" fillId="0" borderId="0" xfId="44" applyFont="1" applyFill="1" applyBorder="1" applyAlignment="1" applyProtection="1">
      <alignment horizontal="left" vertical="center"/>
      <protection hidden="1"/>
    </xf>
    <xf numFmtId="165" fontId="10" fillId="24" borderId="0" xfId="44" applyNumberFormat="1" applyFont="1" applyFill="1" applyAlignment="1" applyProtection="1">
      <alignment horizontal="center" vertical="center"/>
      <protection hidden="1"/>
    </xf>
    <xf numFmtId="2" fontId="14" fillId="24" borderId="0" xfId="44" applyNumberFormat="1" applyFont="1" applyFill="1" applyBorder="1" applyAlignment="1" applyProtection="1">
      <alignment horizontal="left" vertical="center"/>
      <protection hidden="1"/>
    </xf>
    <xf numFmtId="2" fontId="26" fillId="0" borderId="0" xfId="44" applyNumberFormat="1" applyFont="1" applyFill="1" applyBorder="1" applyAlignment="1" applyProtection="1">
      <alignment horizontal="center" vertical="center"/>
      <protection hidden="1"/>
    </xf>
    <xf numFmtId="165" fontId="14" fillId="24" borderId="0" xfId="44" applyNumberFormat="1" applyFont="1" applyFill="1" applyAlignment="1" applyProtection="1">
      <alignment horizontal="center" vertical="center"/>
      <protection hidden="1"/>
    </xf>
    <xf numFmtId="0" fontId="26" fillId="24" borderId="0" xfId="44" applyFont="1" applyFill="1" applyBorder="1" applyAlignment="1" applyProtection="1">
      <alignment horizontal="right" vertical="center"/>
      <protection hidden="1"/>
    </xf>
    <xf numFmtId="10" fontId="30" fillId="24" borderId="0" xfId="44" applyNumberFormat="1" applyFont="1" applyFill="1" applyBorder="1" applyAlignment="1" applyProtection="1">
      <alignment horizontal="center" vertical="center"/>
      <protection hidden="1"/>
    </xf>
    <xf numFmtId="0" fontId="26" fillId="24" borderId="0" xfId="44" applyFont="1" applyFill="1" applyBorder="1" applyAlignment="1" applyProtection="1">
      <alignment horizontal="center" vertical="center"/>
      <protection hidden="1"/>
    </xf>
    <xf numFmtId="0" fontId="11" fillId="24" borderId="0" xfId="44" applyFont="1" applyFill="1" applyBorder="1" applyAlignment="1" applyProtection="1">
      <alignment vertical="center"/>
      <protection hidden="1"/>
    </xf>
    <xf numFmtId="0" fontId="12" fillId="24" borderId="0" xfId="44" applyFont="1" applyFill="1" applyBorder="1" applyAlignment="1" applyProtection="1">
      <alignment horizontal="right" vertical="center"/>
      <protection hidden="1"/>
    </xf>
    <xf numFmtId="0" fontId="16" fillId="24" borderId="0" xfId="44" applyFont="1" applyFill="1" applyAlignment="1" applyProtection="1">
      <alignment horizontal="left" vertical="center"/>
      <protection hidden="1"/>
    </xf>
    <xf numFmtId="10" fontId="2" fillId="0" borderId="0" xfId="44" applyNumberFormat="1" applyFont="1" applyFill="1" applyBorder="1" applyAlignment="1" applyProtection="1">
      <alignment horizontal="center" vertical="center"/>
      <protection hidden="1"/>
    </xf>
    <xf numFmtId="10" fontId="26" fillId="0" borderId="0" xfId="44" applyNumberFormat="1" applyFont="1" applyFill="1" applyBorder="1" applyAlignment="1" applyProtection="1">
      <alignment horizontal="center" vertical="center"/>
      <protection hidden="1"/>
    </xf>
    <xf numFmtId="2" fontId="30" fillId="0" borderId="0" xfId="44" applyNumberFormat="1" applyFont="1" applyFill="1" applyBorder="1" applyAlignment="1" applyProtection="1">
      <alignment horizontal="center" vertical="center"/>
      <protection hidden="1"/>
    </xf>
    <xf numFmtId="0" fontId="30" fillId="0" borderId="0" xfId="44" applyFont="1" applyFill="1" applyBorder="1" applyAlignment="1" applyProtection="1">
      <alignment horizontal="left" vertical="center"/>
      <protection hidden="1"/>
    </xf>
    <xf numFmtId="0" fontId="26" fillId="24" borderId="0" xfId="44" applyFont="1" applyFill="1" applyBorder="1" applyAlignment="1" applyProtection="1">
      <alignment horizontal="left" vertical="center"/>
      <protection hidden="1"/>
    </xf>
    <xf numFmtId="0" fontId="28" fillId="24" borderId="0" xfId="44" applyFont="1" applyFill="1" applyBorder="1" applyAlignment="1" applyProtection="1">
      <alignment horizontal="left" vertical="center"/>
      <protection hidden="1"/>
    </xf>
    <xf numFmtId="2" fontId="15" fillId="24" borderId="0" xfId="44" applyNumberFormat="1" applyFont="1" applyFill="1" applyBorder="1" applyAlignment="1" applyProtection="1">
      <alignment horizontal="center" vertical="center"/>
      <protection hidden="1"/>
    </xf>
    <xf numFmtId="0" fontId="29" fillId="24" borderId="0" xfId="44" applyFont="1" applyFill="1" applyBorder="1" applyAlignment="1" applyProtection="1">
      <alignment horizontal="left" vertical="center"/>
      <protection hidden="1"/>
    </xf>
    <xf numFmtId="0" fontId="17" fillId="24" borderId="0" xfId="44" applyFont="1" applyFill="1" applyBorder="1" applyAlignment="1" applyProtection="1">
      <alignment horizontal="left" vertical="center"/>
      <protection hidden="1"/>
    </xf>
    <xf numFmtId="0" fontId="15" fillId="24" borderId="0" xfId="44" applyFont="1" applyFill="1" applyBorder="1" applyAlignment="1" applyProtection="1">
      <alignment horizontal="right" vertical="center"/>
      <protection hidden="1"/>
    </xf>
    <xf numFmtId="0" fontId="13" fillId="24" borderId="0" xfId="44" applyFont="1" applyFill="1" applyBorder="1" applyAlignment="1" applyProtection="1">
      <alignment vertical="center"/>
      <protection hidden="1"/>
    </xf>
    <xf numFmtId="0" fontId="15" fillId="24" borderId="0" xfId="44" applyFont="1" applyFill="1" applyBorder="1" applyAlignment="1" applyProtection="1">
      <alignment horizontal="center" vertical="center"/>
      <protection hidden="1"/>
    </xf>
    <xf numFmtId="164" fontId="27" fillId="24" borderId="0" xfId="44" applyNumberFormat="1" applyFont="1" applyFill="1" applyBorder="1" applyAlignment="1" applyProtection="1">
      <alignment horizontal="left" vertical="center"/>
      <protection hidden="1"/>
    </xf>
    <xf numFmtId="0" fontId="2" fillId="0" borderId="0" xfId="44" applyFont="1" applyBorder="1" applyAlignment="1" applyProtection="1">
      <alignment horizontal="center" vertical="center"/>
      <protection hidden="1"/>
    </xf>
    <xf numFmtId="0" fontId="13" fillId="24" borderId="0" xfId="44" applyFont="1" applyFill="1" applyBorder="1" applyAlignment="1" applyProtection="1">
      <alignment horizontal="left" vertical="center"/>
      <protection hidden="1"/>
    </xf>
    <xf numFmtId="165" fontId="14" fillId="24" borderId="0" xfId="44" applyNumberFormat="1" applyFont="1" applyFill="1" applyBorder="1" applyAlignment="1" applyProtection="1">
      <alignment horizontal="center" vertical="center"/>
      <protection hidden="1"/>
    </xf>
    <xf numFmtId="0" fontId="29" fillId="24" borderId="0" xfId="44" applyFont="1" applyFill="1" applyBorder="1" applyAlignment="1" applyProtection="1">
      <alignment horizontal="right" vertical="center"/>
      <protection hidden="1"/>
    </xf>
    <xf numFmtId="164" fontId="10" fillId="24" borderId="0" xfId="44" applyNumberFormat="1" applyFont="1" applyFill="1" applyBorder="1" applyAlignment="1" applyProtection="1">
      <alignment horizontal="center" vertical="center"/>
      <protection hidden="1"/>
    </xf>
    <xf numFmtId="164" fontId="15" fillId="24" borderId="0" xfId="44" applyNumberFormat="1" applyFont="1" applyFill="1" applyBorder="1" applyAlignment="1" applyProtection="1">
      <alignment horizontal="right" vertical="center"/>
      <protection hidden="1"/>
    </xf>
    <xf numFmtId="165" fontId="10" fillId="24" borderId="0" xfId="44" applyNumberFormat="1" applyFont="1" applyFill="1" applyBorder="1" applyAlignment="1" applyProtection="1">
      <alignment horizontal="center" vertical="center"/>
      <protection hidden="1"/>
    </xf>
    <xf numFmtId="0" fontId="10" fillId="0" borderId="0" xfId="44" applyFont="1" applyFill="1" applyAlignment="1" applyProtection="1">
      <alignment horizontal="right" vertical="center"/>
      <protection hidden="1"/>
    </xf>
    <xf numFmtId="0" fontId="20" fillId="24" borderId="0" xfId="44" applyFont="1" applyFill="1" applyBorder="1" applyAlignment="1" applyProtection="1">
      <alignment vertical="center"/>
      <protection hidden="1"/>
    </xf>
    <xf numFmtId="49" fontId="14" fillId="24" borderId="17" xfId="43" applyNumberFormat="1" applyFont="1" applyFill="1" applyBorder="1" applyAlignment="1" applyProtection="1">
      <alignment horizontal="left" vertical="center"/>
      <protection locked="0"/>
    </xf>
    <xf numFmtId="49" fontId="14" fillId="24" borderId="18" xfId="43" applyNumberFormat="1" applyFont="1" applyFill="1" applyBorder="1" applyAlignment="1" applyProtection="1">
      <alignment vertical="center"/>
      <protection locked="0"/>
    </xf>
    <xf numFmtId="49" fontId="14" fillId="24" borderId="22" xfId="43" quotePrefix="1" applyNumberFormat="1" applyFont="1" applyFill="1" applyBorder="1" applyAlignment="1" applyProtection="1">
      <alignment horizontal="left" vertical="center"/>
      <protection locked="0"/>
    </xf>
    <xf numFmtId="49" fontId="14" fillId="24" borderId="23" xfId="43" applyNumberFormat="1" applyFont="1" applyFill="1" applyBorder="1" applyAlignment="1" applyProtection="1">
      <alignment vertical="center"/>
      <protection locked="0"/>
    </xf>
    <xf numFmtId="49" fontId="14" fillId="24" borderId="10" xfId="43" applyNumberFormat="1" applyFont="1" applyFill="1" applyBorder="1" applyAlignment="1" applyProtection="1">
      <alignment horizontal="left" vertical="center"/>
      <protection locked="0"/>
    </xf>
    <xf numFmtId="0" fontId="14" fillId="24" borderId="0" xfId="44" applyFont="1" applyFill="1" applyBorder="1" applyAlignment="1" applyProtection="1">
      <alignment vertical="center"/>
      <protection locked="0"/>
    </xf>
    <xf numFmtId="0" fontId="9" fillId="24" borderId="0" xfId="44" applyFont="1" applyFill="1" applyBorder="1" applyAlignment="1" applyProtection="1">
      <alignment horizontal="center" vertical="center"/>
      <protection locked="0"/>
    </xf>
    <xf numFmtId="14" fontId="14" fillId="24" borderId="14" xfId="44" applyNumberFormat="1" applyFont="1" applyFill="1" applyBorder="1" applyAlignment="1" applyProtection="1">
      <alignment horizontal="center" vertical="center"/>
      <protection locked="0"/>
    </xf>
    <xf numFmtId="0" fontId="31" fillId="24" borderId="0" xfId="44" applyFont="1" applyFill="1" applyBorder="1" applyAlignment="1" applyProtection="1">
      <alignment horizontal="left" vertical="center"/>
      <protection locked="0"/>
    </xf>
    <xf numFmtId="0" fontId="12" fillId="24" borderId="0" xfId="44" applyFont="1" applyFill="1" applyBorder="1" applyAlignment="1" applyProtection="1">
      <alignment vertical="center"/>
      <protection locked="0"/>
    </xf>
    <xf numFmtId="0" fontId="14" fillId="24" borderId="16" xfId="44" applyFont="1" applyFill="1" applyBorder="1" applyAlignment="1" applyProtection="1">
      <alignment vertical="center"/>
      <protection locked="0"/>
    </xf>
    <xf numFmtId="0" fontId="14" fillId="24" borderId="15" xfId="44" applyFont="1" applyFill="1" applyBorder="1" applyAlignment="1" applyProtection="1">
      <alignment vertical="center"/>
      <protection locked="0"/>
    </xf>
    <xf numFmtId="0" fontId="2" fillId="26" borderId="20" xfId="44" applyFont="1" applyFill="1" applyBorder="1" applyAlignment="1" applyProtection="1">
      <alignment vertical="center"/>
      <protection hidden="1"/>
    </xf>
    <xf numFmtId="0" fontId="2" fillId="26" borderId="14" xfId="44" applyFont="1" applyFill="1" applyBorder="1" applyAlignment="1" applyProtection="1">
      <alignment horizontal="center" vertical="center"/>
      <protection hidden="1"/>
    </xf>
    <xf numFmtId="0" fontId="37" fillId="26" borderId="19" xfId="44" applyFont="1" applyFill="1" applyBorder="1" applyAlignment="1" applyProtection="1">
      <alignment horizontal="center" vertical="center"/>
      <protection hidden="1"/>
    </xf>
    <xf numFmtId="164" fontId="14" fillId="25" borderId="8" xfId="44" applyNumberFormat="1" applyFont="1" applyFill="1" applyBorder="1" applyAlignment="1" applyProtection="1">
      <alignment horizontal="center" vertical="center"/>
      <protection locked="0"/>
    </xf>
    <xf numFmtId="0" fontId="14" fillId="25" borderId="10" xfId="44" applyFont="1" applyFill="1" applyBorder="1" applyAlignment="1" applyProtection="1">
      <alignment horizontal="center" vertical="center"/>
      <protection locked="0"/>
    </xf>
    <xf numFmtId="2" fontId="14" fillId="25" borderId="8" xfId="44" applyNumberFormat="1" applyFont="1" applyFill="1" applyBorder="1" applyAlignment="1" applyProtection="1">
      <alignment horizontal="center" vertical="center"/>
      <protection locked="0"/>
    </xf>
    <xf numFmtId="2" fontId="14" fillId="0" borderId="10" xfId="44" applyNumberFormat="1" applyFont="1" applyFill="1" applyBorder="1" applyAlignment="1" applyProtection="1">
      <alignment horizontal="center" vertical="center"/>
      <protection hidden="1"/>
    </xf>
    <xf numFmtId="2" fontId="14" fillId="0" borderId="23" xfId="44" applyNumberFormat="1" applyFont="1" applyFill="1" applyBorder="1" applyAlignment="1" applyProtection="1">
      <alignment vertical="center"/>
      <protection hidden="1"/>
    </xf>
    <xf numFmtId="2" fontId="14" fillId="0" borderId="24" xfId="44" applyNumberFormat="1" applyFont="1" applyFill="1" applyBorder="1" applyAlignment="1" applyProtection="1">
      <alignment vertical="center"/>
      <protection hidden="1"/>
    </xf>
    <xf numFmtId="2" fontId="14" fillId="0" borderId="11" xfId="44" applyNumberFormat="1" applyFont="1" applyFill="1" applyBorder="1" applyAlignment="1" applyProtection="1">
      <alignment horizontal="center" vertical="center"/>
      <protection hidden="1"/>
    </xf>
    <xf numFmtId="2" fontId="14" fillId="0" borderId="24" xfId="44" applyNumberFormat="1" applyFont="1" applyFill="1" applyBorder="1" applyAlignment="1" applyProtection="1">
      <alignment horizontal="center" vertical="center"/>
      <protection hidden="1"/>
    </xf>
    <xf numFmtId="0" fontId="10" fillId="24" borderId="12" xfId="44" applyFont="1" applyFill="1" applyBorder="1" applyAlignment="1" applyProtection="1">
      <alignment horizontal="centerContinuous" vertical="center"/>
      <protection hidden="1"/>
    </xf>
    <xf numFmtId="0" fontId="10" fillId="0" borderId="13" xfId="44" applyFont="1" applyFill="1" applyBorder="1" applyAlignment="1" applyProtection="1">
      <alignment horizontal="centerContinuous" vertical="center"/>
      <protection hidden="1"/>
    </xf>
    <xf numFmtId="0" fontId="14" fillId="0" borderId="13" xfId="44" applyFont="1" applyFill="1" applyBorder="1" applyAlignment="1" applyProtection="1">
      <alignment horizontal="centerContinuous" vertical="center"/>
      <protection hidden="1"/>
    </xf>
    <xf numFmtId="0" fontId="14" fillId="0" borderId="14" xfId="44" applyFont="1" applyFill="1" applyBorder="1" applyAlignment="1" applyProtection="1">
      <alignment horizontal="centerContinuous" vertical="center"/>
      <protection hidden="1"/>
    </xf>
    <xf numFmtId="0" fontId="10" fillId="24" borderId="17" xfId="44" applyFont="1" applyFill="1" applyBorder="1" applyAlignment="1" applyProtection="1">
      <alignment horizontal="centerContinuous" vertical="center"/>
      <protection hidden="1"/>
    </xf>
    <xf numFmtId="0" fontId="10" fillId="0" borderId="18" xfId="44" applyFont="1" applyFill="1" applyBorder="1" applyAlignment="1" applyProtection="1">
      <alignment horizontal="centerContinuous" vertical="center"/>
      <protection hidden="1"/>
    </xf>
    <xf numFmtId="0" fontId="14" fillId="0" borderId="18" xfId="44" applyFont="1" applyFill="1" applyBorder="1" applyAlignment="1" applyProtection="1">
      <alignment horizontal="centerContinuous" vertical="center"/>
      <protection hidden="1"/>
    </xf>
    <xf numFmtId="0" fontId="14" fillId="0" borderId="19" xfId="44" applyFont="1" applyFill="1" applyBorder="1" applyAlignment="1" applyProtection="1">
      <alignment horizontal="centerContinuous" vertical="center"/>
      <protection hidden="1"/>
    </xf>
    <xf numFmtId="0" fontId="10" fillId="24" borderId="14" xfId="44" applyFont="1" applyFill="1" applyBorder="1" applyAlignment="1" applyProtection="1">
      <alignment horizontal="centerContinuous" vertical="center"/>
      <protection hidden="1"/>
    </xf>
    <xf numFmtId="49" fontId="14" fillId="24" borderId="0" xfId="44" applyNumberFormat="1" applyFont="1" applyFill="1" applyBorder="1" applyAlignment="1" applyProtection="1">
      <alignment horizontal="center" vertical="center"/>
      <protection hidden="1"/>
    </xf>
    <xf numFmtId="49" fontId="14" fillId="24" borderId="0" xfId="44" applyNumberFormat="1" applyFont="1" applyFill="1" applyAlignment="1" applyProtection="1">
      <alignment horizontal="center" vertical="center"/>
      <protection hidden="1"/>
    </xf>
    <xf numFmtId="49" fontId="10" fillId="24" borderId="0" xfId="44" applyNumberFormat="1" applyFont="1" applyFill="1" applyAlignment="1" applyProtection="1">
      <alignment horizontal="center" vertical="center"/>
      <protection hidden="1"/>
    </xf>
    <xf numFmtId="0" fontId="14" fillId="0" borderId="20" xfId="44" applyFont="1" applyFill="1" applyBorder="1" applyAlignment="1" applyProtection="1">
      <alignment horizontal="center" vertical="center"/>
      <protection hidden="1"/>
    </xf>
    <xf numFmtId="0" fontId="10" fillId="24" borderId="11" xfId="44" applyFont="1" applyFill="1" applyBorder="1" applyAlignment="1" applyProtection="1">
      <alignment horizontal="center" vertical="center"/>
      <protection hidden="1"/>
    </xf>
    <xf numFmtId="0" fontId="14" fillId="25" borderId="25" xfId="44" applyFont="1" applyFill="1" applyBorder="1" applyAlignment="1" applyProtection="1">
      <alignment horizontal="center" vertical="center"/>
      <protection locked="0"/>
    </xf>
    <xf numFmtId="0" fontId="38" fillId="25" borderId="9" xfId="44" applyFont="1" applyFill="1" applyBorder="1" applyAlignment="1" applyProtection="1">
      <alignment horizontal="center" vertical="center"/>
      <protection locked="0"/>
    </xf>
    <xf numFmtId="0" fontId="14" fillId="0" borderId="22" xfId="44" applyFont="1" applyFill="1" applyBorder="1" applyAlignment="1" applyProtection="1">
      <alignment horizontal="centerContinuous" vertical="center"/>
      <protection hidden="1"/>
    </xf>
    <xf numFmtId="0" fontId="14" fillId="0" borderId="23" xfId="44" applyFont="1" applyFill="1" applyBorder="1" applyAlignment="1" applyProtection="1">
      <alignment horizontal="centerContinuous" vertical="center"/>
      <protection hidden="1"/>
    </xf>
    <xf numFmtId="0" fontId="14" fillId="0" borderId="24" xfId="44" applyFont="1" applyFill="1" applyBorder="1" applyAlignment="1" applyProtection="1">
      <alignment horizontal="centerContinuous" vertical="center"/>
      <protection hidden="1"/>
    </xf>
    <xf numFmtId="0" fontId="10" fillId="24" borderId="20" xfId="44" applyFont="1" applyFill="1" applyBorder="1" applyAlignment="1" applyProtection="1">
      <alignment vertical="center"/>
      <protection hidden="1"/>
    </xf>
    <xf numFmtId="0" fontId="10" fillId="24" borderId="20" xfId="44" applyFont="1" applyFill="1" applyBorder="1" applyAlignment="1" applyProtection="1">
      <alignment horizontal="center" vertical="center"/>
      <protection hidden="1"/>
    </xf>
    <xf numFmtId="164" fontId="10" fillId="24" borderId="20" xfId="44" applyNumberFormat="1" applyFont="1" applyFill="1" applyBorder="1" applyAlignment="1" applyProtection="1">
      <alignment horizontal="center" vertical="center"/>
      <protection hidden="1"/>
    </xf>
    <xf numFmtId="49" fontId="44" fillId="25" borderId="21" xfId="0" applyNumberFormat="1" applyFont="1" applyFill="1" applyBorder="1" applyAlignment="1" applyProtection="1">
      <alignment horizontal="center"/>
      <protection locked="0"/>
    </xf>
    <xf numFmtId="0" fontId="13" fillId="24" borderId="15" xfId="44" applyFont="1" applyFill="1" applyBorder="1" applyAlignment="1" applyProtection="1">
      <alignment vertical="center"/>
      <protection hidden="1"/>
    </xf>
    <xf numFmtId="0" fontId="14" fillId="24" borderId="11" xfId="44" applyFont="1" applyFill="1" applyBorder="1" applyAlignment="1" applyProtection="1">
      <alignment horizontal="center" vertical="center"/>
      <protection hidden="1"/>
    </xf>
    <xf numFmtId="49" fontId="10" fillId="24" borderId="12" xfId="44" applyNumberFormat="1" applyFont="1" applyFill="1" applyBorder="1" applyAlignment="1" applyProtection="1">
      <alignment horizontal="left" vertical="center"/>
      <protection hidden="1"/>
    </xf>
    <xf numFmtId="0" fontId="14" fillId="24" borderId="9" xfId="0" applyFont="1" applyFill="1" applyBorder="1" applyAlignment="1" applyProtection="1">
      <alignment horizontal="center"/>
      <protection hidden="1"/>
    </xf>
    <xf numFmtId="0" fontId="14" fillId="24" borderId="8" xfId="0" applyFont="1" applyFill="1" applyBorder="1" applyAlignment="1" applyProtection="1">
      <alignment horizontal="center"/>
      <protection hidden="1"/>
    </xf>
    <xf numFmtId="0" fontId="14" fillId="24" borderId="26" xfId="0" applyFont="1" applyFill="1" applyBorder="1" applyAlignment="1" applyProtection="1">
      <alignment horizontal="center"/>
      <protection hidden="1"/>
    </xf>
    <xf numFmtId="0" fontId="14" fillId="24" borderId="25" xfId="0" applyFont="1" applyFill="1" applyBorder="1" applyAlignment="1" applyProtection="1">
      <alignment horizontal="center"/>
      <protection hidden="1"/>
    </xf>
    <xf numFmtId="0" fontId="14" fillId="24" borderId="20" xfId="0" applyFont="1" applyFill="1" applyBorder="1" applyAlignment="1" applyProtection="1">
      <alignment horizontal="center"/>
      <protection hidden="1"/>
    </xf>
    <xf numFmtId="0" fontId="14" fillId="24" borderId="11" xfId="0" applyFont="1" applyFill="1" applyBorder="1" applyAlignment="1" applyProtection="1">
      <alignment horizontal="center"/>
      <protection hidden="1"/>
    </xf>
    <xf numFmtId="0" fontId="14" fillId="24" borderId="17" xfId="0" applyFont="1" applyFill="1" applyBorder="1" applyProtection="1">
      <protection hidden="1"/>
    </xf>
    <xf numFmtId="0" fontId="14" fillId="24" borderId="0" xfId="0" applyFont="1" applyFill="1" applyBorder="1" applyProtection="1">
      <protection hidden="1"/>
    </xf>
    <xf numFmtId="0" fontId="18" fillId="24" borderId="0" xfId="44" applyFont="1" applyFill="1" applyBorder="1" applyAlignment="1" applyProtection="1">
      <alignment vertical="center"/>
      <protection hidden="1"/>
    </xf>
    <xf numFmtId="18" fontId="2" fillId="24" borderId="16" xfId="44" applyNumberFormat="1" applyFont="1" applyFill="1" applyBorder="1" applyAlignment="1" applyProtection="1">
      <alignment horizontal="center" vertical="center"/>
      <protection hidden="1"/>
    </xf>
    <xf numFmtId="0" fontId="14" fillId="24" borderId="16" xfId="44" applyFont="1" applyFill="1" applyBorder="1" applyAlignment="1" applyProtection="1">
      <alignment horizontal="center" vertical="center"/>
      <protection hidden="1"/>
    </xf>
    <xf numFmtId="0" fontId="14" fillId="24" borderId="16" xfId="44" applyNumberFormat="1" applyFont="1" applyFill="1" applyBorder="1" applyAlignment="1" applyProtection="1">
      <alignment horizontal="center" vertical="center"/>
      <protection hidden="1"/>
    </xf>
    <xf numFmtId="10" fontId="30" fillId="0" borderId="16" xfId="44" applyNumberFormat="1" applyFont="1" applyFill="1" applyBorder="1" applyAlignment="1" applyProtection="1">
      <alignment horizontal="center" vertical="center"/>
      <protection hidden="1"/>
    </xf>
    <xf numFmtId="10" fontId="8" fillId="0" borderId="16" xfId="44" applyNumberFormat="1" applyFont="1" applyFill="1" applyBorder="1" applyAlignment="1" applyProtection="1">
      <alignment horizontal="center" vertical="center"/>
      <protection hidden="1"/>
    </xf>
    <xf numFmtId="0" fontId="2" fillId="24" borderId="16" xfId="44" applyFont="1" applyFill="1" applyBorder="1" applyAlignment="1" applyProtection="1">
      <alignment horizontal="center" vertical="center"/>
      <protection hidden="1"/>
    </xf>
    <xf numFmtId="0" fontId="2" fillId="24" borderId="17" xfId="44" applyFont="1" applyFill="1" applyBorder="1" applyAlignment="1" applyProtection="1">
      <alignment vertical="center"/>
      <protection hidden="1"/>
    </xf>
    <xf numFmtId="0" fontId="2" fillId="24" borderId="18" xfId="44" applyFont="1" applyFill="1" applyBorder="1" applyAlignment="1" applyProtection="1">
      <alignment vertical="center"/>
      <protection hidden="1"/>
    </xf>
    <xf numFmtId="0" fontId="2" fillId="0" borderId="16" xfId="44" applyFont="1" applyFill="1" applyBorder="1" applyAlignment="1" applyProtection="1">
      <alignment horizontal="center" vertical="center"/>
      <protection hidden="1"/>
    </xf>
    <xf numFmtId="0" fontId="26" fillId="0" borderId="16" xfId="44" applyFont="1" applyFill="1" applyBorder="1" applyAlignment="1" applyProtection="1">
      <alignment horizontal="center" vertical="center"/>
      <protection hidden="1"/>
    </xf>
    <xf numFmtId="0" fontId="15" fillId="0" borderId="16" xfId="44" applyFont="1" applyFill="1" applyBorder="1" applyAlignment="1" applyProtection="1">
      <alignment horizontal="center" vertical="center"/>
      <protection hidden="1"/>
    </xf>
    <xf numFmtId="0" fontId="21" fillId="0" borderId="15" xfId="44" applyFont="1" applyFill="1" applyBorder="1" applyAlignment="1" applyProtection="1">
      <alignment horizontal="right" vertical="center"/>
      <protection hidden="1"/>
    </xf>
    <xf numFmtId="164" fontId="14" fillId="0" borderId="9" xfId="46" applyNumberFormat="1" applyFont="1" applyBorder="1" applyAlignment="1" applyProtection="1">
      <alignment horizontal="center"/>
      <protection hidden="1"/>
    </xf>
    <xf numFmtId="164" fontId="14" fillId="0" borderId="8" xfId="46" applyNumberFormat="1" applyFont="1" applyBorder="1" applyAlignment="1" applyProtection="1">
      <alignment horizontal="center"/>
      <protection hidden="1"/>
    </xf>
    <xf numFmtId="0" fontId="15" fillId="24" borderId="15" xfId="44" applyFont="1" applyFill="1" applyBorder="1" applyAlignment="1" applyProtection="1">
      <alignment vertical="center"/>
      <protection hidden="1"/>
    </xf>
    <xf numFmtId="0" fontId="14" fillId="24" borderId="27" xfId="0" applyFont="1" applyFill="1" applyBorder="1" applyAlignment="1" applyProtection="1">
      <alignment horizontal="center"/>
      <protection hidden="1"/>
    </xf>
    <xf numFmtId="0" fontId="14" fillId="24" borderId="10" xfId="0" applyFont="1" applyFill="1" applyBorder="1" applyAlignment="1" applyProtection="1">
      <alignment horizontal="center"/>
      <protection hidden="1"/>
    </xf>
    <xf numFmtId="0" fontId="14" fillId="24" borderId="21" xfId="0" applyFont="1" applyFill="1" applyBorder="1" applyAlignment="1" applyProtection="1">
      <alignment horizontal="center"/>
      <protection hidden="1"/>
    </xf>
    <xf numFmtId="0" fontId="14" fillId="24" borderId="23" xfId="0" applyFont="1" applyFill="1" applyBorder="1" applyProtection="1">
      <protection hidden="1"/>
    </xf>
    <xf numFmtId="0" fontId="14" fillId="24" borderId="0" xfId="0" applyFont="1" applyFill="1" applyBorder="1" applyAlignment="1" applyProtection="1">
      <alignment horizontal="center"/>
      <protection hidden="1"/>
    </xf>
    <xf numFmtId="49" fontId="14" fillId="24" borderId="28" xfId="0" applyNumberFormat="1" applyFont="1" applyFill="1" applyBorder="1" applyProtection="1">
      <protection hidden="1"/>
    </xf>
    <xf numFmtId="49" fontId="14" fillId="24" borderId="29" xfId="0" applyNumberFormat="1" applyFont="1" applyFill="1" applyBorder="1" applyProtection="1">
      <protection hidden="1"/>
    </xf>
    <xf numFmtId="165" fontId="14" fillId="25" borderId="8" xfId="44" applyNumberFormat="1" applyFont="1" applyFill="1" applyBorder="1" applyAlignment="1" applyProtection="1">
      <alignment horizontal="center" vertical="center"/>
      <protection locked="0"/>
    </xf>
    <xf numFmtId="0" fontId="10" fillId="24" borderId="13" xfId="44" applyFont="1" applyFill="1" applyBorder="1" applyAlignment="1" applyProtection="1">
      <alignment horizontal="centerContinuous" vertical="center"/>
      <protection hidden="1"/>
    </xf>
    <xf numFmtId="0" fontId="10" fillId="24" borderId="18" xfId="44" applyFont="1" applyFill="1" applyBorder="1" applyAlignment="1" applyProtection="1">
      <alignment horizontal="centerContinuous" vertical="center"/>
      <protection hidden="1"/>
    </xf>
    <xf numFmtId="0" fontId="10" fillId="24" borderId="19" xfId="44" applyFont="1" applyFill="1" applyBorder="1" applyAlignment="1" applyProtection="1">
      <alignment horizontal="centerContinuous" vertical="center"/>
      <protection hidden="1"/>
    </xf>
    <xf numFmtId="0" fontId="10" fillId="24" borderId="30" xfId="44" applyFont="1" applyFill="1" applyBorder="1" applyAlignment="1" applyProtection="1">
      <alignment horizontal="centerContinuous" vertical="center"/>
      <protection hidden="1"/>
    </xf>
    <xf numFmtId="0" fontId="10" fillId="24" borderId="31" xfId="44" applyFont="1" applyFill="1" applyBorder="1" applyAlignment="1" applyProtection="1">
      <alignment horizontal="centerContinuous" vertical="center"/>
      <protection hidden="1"/>
    </xf>
    <xf numFmtId="0" fontId="10" fillId="24" borderId="32" xfId="44" applyFont="1" applyFill="1" applyBorder="1" applyAlignment="1" applyProtection="1">
      <alignment horizontal="centerContinuous" vertical="center"/>
      <protection hidden="1"/>
    </xf>
    <xf numFmtId="0" fontId="10" fillId="24" borderId="33" xfId="44" applyFont="1" applyFill="1" applyBorder="1" applyAlignment="1" applyProtection="1">
      <alignment horizontal="centerContinuous" vertical="center"/>
      <protection hidden="1"/>
    </xf>
    <xf numFmtId="0" fontId="10" fillId="24" borderId="5" xfId="44" applyFont="1" applyFill="1" applyBorder="1" applyAlignment="1" applyProtection="1">
      <alignment horizontal="centerContinuous" vertical="center"/>
      <protection hidden="1"/>
    </xf>
    <xf numFmtId="0" fontId="10" fillId="24" borderId="34" xfId="44" applyFont="1" applyFill="1" applyBorder="1" applyAlignment="1" applyProtection="1">
      <alignment horizontal="centerContinuous" vertical="center"/>
      <protection hidden="1"/>
    </xf>
    <xf numFmtId="0" fontId="10" fillId="24" borderId="35" xfId="44" applyFont="1" applyFill="1" applyBorder="1" applyAlignment="1" applyProtection="1">
      <alignment horizontal="centerContinuous" vertical="center"/>
      <protection hidden="1"/>
    </xf>
    <xf numFmtId="0" fontId="10" fillId="24" borderId="36" xfId="44" applyFont="1" applyFill="1" applyBorder="1" applyAlignment="1" applyProtection="1">
      <alignment horizontal="centerContinuous" vertical="center"/>
      <protection hidden="1"/>
    </xf>
    <xf numFmtId="0" fontId="10" fillId="24" borderId="37" xfId="44" applyFont="1" applyFill="1" applyBorder="1" applyAlignment="1" applyProtection="1">
      <alignment horizontal="centerContinuous" vertical="center"/>
      <protection hidden="1"/>
    </xf>
    <xf numFmtId="49" fontId="14" fillId="24" borderId="41" xfId="0" applyNumberFormat="1" applyFont="1" applyFill="1" applyBorder="1" applyProtection="1">
      <protection hidden="1"/>
    </xf>
    <xf numFmtId="0" fontId="10" fillId="24" borderId="10" xfId="44" applyFont="1" applyFill="1" applyBorder="1" applyAlignment="1" applyProtection="1">
      <alignment horizontal="center" vertical="center"/>
      <protection hidden="1"/>
    </xf>
    <xf numFmtId="0" fontId="14" fillId="24" borderId="28" xfId="0" applyFont="1" applyFill="1" applyBorder="1" applyProtection="1">
      <protection hidden="1"/>
    </xf>
    <xf numFmtId="0" fontId="14" fillId="24" borderId="22" xfId="0" applyFont="1" applyFill="1" applyBorder="1" applyProtection="1">
      <protection hidden="1"/>
    </xf>
    <xf numFmtId="0" fontId="14" fillId="24" borderId="24" xfId="0" applyFont="1" applyFill="1" applyBorder="1" applyProtection="1">
      <protection hidden="1"/>
    </xf>
    <xf numFmtId="0" fontId="14" fillId="24" borderId="17" xfId="44" applyFont="1" applyFill="1" applyBorder="1" applyAlignment="1" applyProtection="1">
      <alignment vertical="center"/>
      <protection locked="0"/>
    </xf>
    <xf numFmtId="0" fontId="15" fillId="26" borderId="9" xfId="44" applyNumberFormat="1" applyFont="1" applyFill="1" applyBorder="1" applyAlignment="1" applyProtection="1">
      <alignment horizontal="center" vertical="center"/>
      <protection hidden="1"/>
    </xf>
    <xf numFmtId="0" fontId="15" fillId="26" borderId="8" xfId="44" applyNumberFormat="1" applyFont="1" applyFill="1" applyBorder="1" applyAlignment="1" applyProtection="1">
      <alignment horizontal="center" vertical="center"/>
      <protection hidden="1"/>
    </xf>
    <xf numFmtId="0" fontId="15" fillId="26" borderId="9" xfId="46" applyNumberFormat="1" applyFont="1" applyFill="1" applyBorder="1" applyAlignment="1" applyProtection="1">
      <alignment horizontal="center" vertical="top" wrapText="1"/>
      <protection hidden="1"/>
    </xf>
    <xf numFmtId="0" fontId="15" fillId="26" borderId="8" xfId="46" applyNumberFormat="1" applyFont="1" applyFill="1" applyBorder="1" applyAlignment="1" applyProtection="1">
      <alignment horizontal="center" vertical="top" wrapText="1"/>
      <protection hidden="1"/>
    </xf>
    <xf numFmtId="0" fontId="15" fillId="26" borderId="8" xfId="44" applyFont="1" applyFill="1" applyBorder="1" applyAlignment="1" applyProtection="1">
      <alignment horizontal="center" vertical="center"/>
      <protection hidden="1"/>
    </xf>
    <xf numFmtId="0" fontId="15" fillId="26" borderId="21" xfId="44" applyFont="1" applyFill="1" applyBorder="1" applyAlignment="1" applyProtection="1">
      <alignment horizontal="center" vertical="center"/>
      <protection hidden="1"/>
    </xf>
    <xf numFmtId="164" fontId="14" fillId="25" borderId="9" xfId="44" applyNumberFormat="1" applyFont="1" applyFill="1" applyBorder="1" applyAlignment="1" applyProtection="1">
      <alignment horizontal="center" vertical="center"/>
      <protection locked="0"/>
    </xf>
    <xf numFmtId="164" fontId="14" fillId="25" borderId="21" xfId="44" applyNumberFormat="1" applyFont="1" applyFill="1" applyBorder="1" applyAlignment="1" applyProtection="1">
      <alignment horizontal="center" vertical="center"/>
      <protection locked="0"/>
    </xf>
    <xf numFmtId="166" fontId="14" fillId="24" borderId="8" xfId="44" applyNumberFormat="1" applyFont="1" applyFill="1" applyBorder="1" applyAlignment="1" applyProtection="1">
      <alignment horizontal="center" vertical="center"/>
      <protection hidden="1"/>
    </xf>
    <xf numFmtId="164" fontId="14" fillId="0" borderId="9" xfId="46" applyNumberFormat="1" applyFont="1" applyFill="1" applyBorder="1" applyAlignment="1" applyProtection="1">
      <alignment horizontal="center"/>
      <protection hidden="1"/>
    </xf>
    <xf numFmtId="164" fontId="14" fillId="0" borderId="8" xfId="46" applyNumberFormat="1" applyFont="1" applyFill="1" applyBorder="1" applyAlignment="1" applyProtection="1">
      <alignment horizontal="center"/>
      <protection hidden="1"/>
    </xf>
    <xf numFmtId="49" fontId="14" fillId="24" borderId="42" xfId="0" applyNumberFormat="1" applyFont="1" applyFill="1" applyBorder="1" applyProtection="1">
      <protection hidden="1"/>
    </xf>
    <xf numFmtId="0" fontId="14" fillId="24" borderId="9" xfId="0" applyFont="1" applyFill="1" applyBorder="1" applyAlignment="1" applyProtection="1">
      <alignment horizontal="centerContinuous"/>
      <protection hidden="1"/>
    </xf>
    <xf numFmtId="0" fontId="14" fillId="24" borderId="8" xfId="0" applyFont="1" applyFill="1" applyBorder="1" applyAlignment="1" applyProtection="1">
      <alignment horizontal="centerContinuous"/>
      <protection hidden="1"/>
    </xf>
    <xf numFmtId="49" fontId="14" fillId="24" borderId="43" xfId="0" applyNumberFormat="1" applyFont="1" applyFill="1" applyBorder="1" applyProtection="1">
      <protection hidden="1"/>
    </xf>
    <xf numFmtId="0" fontId="14" fillId="24" borderId="26" xfId="0" applyFont="1" applyFill="1" applyBorder="1" applyAlignment="1" applyProtection="1">
      <alignment horizontal="centerContinuous"/>
      <protection hidden="1"/>
    </xf>
    <xf numFmtId="0" fontId="14" fillId="24" borderId="20" xfId="0" applyFont="1" applyFill="1" applyBorder="1" applyAlignment="1" applyProtection="1">
      <alignment horizontal="centerContinuous"/>
      <protection hidden="1"/>
    </xf>
    <xf numFmtId="0" fontId="14" fillId="24" borderId="14" xfId="0" applyFont="1" applyFill="1" applyBorder="1" applyAlignment="1" applyProtection="1">
      <alignment horizontal="center"/>
      <protection hidden="1"/>
    </xf>
    <xf numFmtId="0" fontId="14" fillId="24" borderId="44" xfId="0" applyFont="1" applyFill="1" applyBorder="1" applyAlignment="1" applyProtection="1">
      <alignment horizontal="center"/>
      <protection hidden="1"/>
    </xf>
    <xf numFmtId="0" fontId="14" fillId="24" borderId="45" xfId="0" applyFont="1" applyFill="1" applyBorder="1" applyAlignment="1" applyProtection="1">
      <alignment horizontal="center"/>
      <protection hidden="1"/>
    </xf>
    <xf numFmtId="0" fontId="14" fillId="24" borderId="13" xfId="0" applyFont="1" applyFill="1" applyBorder="1" applyProtection="1">
      <protection hidden="1"/>
    </xf>
    <xf numFmtId="0" fontId="14" fillId="24" borderId="21" xfId="0" applyFont="1" applyFill="1" applyBorder="1" applyAlignment="1" applyProtection="1">
      <alignment horizontal="centerContinuous"/>
      <protection hidden="1"/>
    </xf>
    <xf numFmtId="0" fontId="14" fillId="24" borderId="12" xfId="0" applyFont="1" applyFill="1" applyBorder="1" applyAlignment="1" applyProtection="1">
      <alignment horizontal="centerContinuous"/>
      <protection hidden="1"/>
    </xf>
    <xf numFmtId="0" fontId="9" fillId="24" borderId="0" xfId="44" applyFont="1" applyFill="1" applyBorder="1" applyAlignment="1" applyProtection="1">
      <alignment vertical="center"/>
      <protection hidden="1"/>
    </xf>
    <xf numFmtId="49" fontId="14" fillId="24" borderId="0" xfId="0" applyNumberFormat="1" applyFont="1" applyFill="1" applyBorder="1" applyProtection="1">
      <protection hidden="1"/>
    </xf>
    <xf numFmtId="0" fontId="14" fillId="24" borderId="0" xfId="0" applyFont="1" applyFill="1" applyBorder="1" applyAlignment="1" applyProtection="1">
      <alignment horizontal="centerContinuous"/>
      <protection hidden="1"/>
    </xf>
    <xf numFmtId="49" fontId="14" fillId="24" borderId="18" xfId="43" applyNumberFormat="1" applyFont="1" applyFill="1" applyBorder="1" applyAlignment="1" applyProtection="1">
      <alignment horizontal="left" vertical="center"/>
      <protection locked="0"/>
    </xf>
    <xf numFmtId="49" fontId="14" fillId="24" borderId="18" xfId="43" applyNumberFormat="1" applyFont="1" applyFill="1" applyBorder="1" applyAlignment="1" applyProtection="1">
      <alignment horizontal="centerContinuous" vertical="center"/>
      <protection locked="0"/>
    </xf>
    <xf numFmtId="49" fontId="14" fillId="24" borderId="19" xfId="43" applyNumberFormat="1" applyFont="1" applyFill="1" applyBorder="1" applyAlignment="1" applyProtection="1">
      <alignment vertical="center"/>
      <protection locked="0"/>
    </xf>
    <xf numFmtId="18" fontId="14" fillId="24" borderId="16" xfId="44" applyNumberFormat="1" applyFont="1" applyFill="1" applyBorder="1" applyAlignment="1" applyProtection="1">
      <alignment horizontal="center" vertical="center"/>
      <protection hidden="1"/>
    </xf>
    <xf numFmtId="2" fontId="19" fillId="0" borderId="0" xfId="44" applyNumberFormat="1" applyFont="1" applyFill="1" applyBorder="1" applyAlignment="1" applyProtection="1">
      <alignment vertical="center"/>
      <protection hidden="1"/>
    </xf>
    <xf numFmtId="0" fontId="10" fillId="24" borderId="27" xfId="44" applyFont="1" applyFill="1" applyBorder="1" applyAlignment="1" applyProtection="1">
      <alignment horizontal="center" vertical="center"/>
      <protection hidden="1"/>
    </xf>
    <xf numFmtId="0" fontId="2" fillId="24" borderId="0" xfId="44" applyFont="1" applyFill="1" applyBorder="1" applyAlignment="1" applyProtection="1">
      <alignment horizontal="centerContinuous" vertical="center"/>
      <protection hidden="1"/>
    </xf>
    <xf numFmtId="0" fontId="2" fillId="24" borderId="16" xfId="44" applyFont="1" applyFill="1" applyBorder="1" applyAlignment="1" applyProtection="1">
      <alignment horizontal="centerContinuous" vertical="center"/>
      <protection hidden="1"/>
    </xf>
    <xf numFmtId="0" fontId="8" fillId="24" borderId="0" xfId="44" applyFont="1" applyFill="1" applyBorder="1" applyAlignment="1" applyProtection="1">
      <alignment horizontal="centerContinuous" vertical="center"/>
      <protection hidden="1"/>
    </xf>
    <xf numFmtId="0" fontId="47" fillId="24" borderId="0" xfId="44" applyFont="1" applyFill="1" applyBorder="1" applyAlignment="1" applyProtection="1">
      <alignment horizontal="centerContinuous" vertical="center"/>
      <protection hidden="1"/>
    </xf>
    <xf numFmtId="0" fontId="10" fillId="24" borderId="15" xfId="44" applyFont="1" applyFill="1" applyBorder="1" applyAlignment="1" applyProtection="1">
      <alignment vertical="center"/>
      <protection locked="0"/>
    </xf>
    <xf numFmtId="0" fontId="10" fillId="24" borderId="17" xfId="44" applyFont="1" applyFill="1" applyBorder="1" applyAlignment="1" applyProtection="1">
      <alignment vertical="center"/>
      <protection locked="0"/>
    </xf>
    <xf numFmtId="2" fontId="14" fillId="24" borderId="8" xfId="0" applyNumberFormat="1" applyFont="1" applyFill="1" applyBorder="1" applyAlignment="1" applyProtection="1">
      <alignment horizontal="center"/>
      <protection hidden="1"/>
    </xf>
    <xf numFmtId="0" fontId="14" fillId="24" borderId="42" xfId="0" applyFont="1" applyFill="1" applyBorder="1" applyProtection="1">
      <protection hidden="1"/>
    </xf>
    <xf numFmtId="0" fontId="49" fillId="24" borderId="0" xfId="44" applyFont="1" applyFill="1" applyBorder="1" applyAlignment="1" applyProtection="1">
      <alignment horizontal="left" vertical="center"/>
      <protection hidden="1"/>
    </xf>
    <xf numFmtId="0" fontId="10" fillId="24" borderId="0" xfId="44" applyFont="1" applyFill="1" applyBorder="1" applyAlignment="1" applyProtection="1">
      <alignment horizontal="centerContinuous" vertical="center"/>
      <protection hidden="1"/>
    </xf>
    <xf numFmtId="0" fontId="14" fillId="24" borderId="0" xfId="44" applyFont="1" applyFill="1" applyBorder="1" applyAlignment="1" applyProtection="1">
      <alignment horizontal="centerContinuous" vertical="center"/>
      <protection hidden="1"/>
    </xf>
    <xf numFmtId="164" fontId="10" fillId="24" borderId="8" xfId="44" applyNumberFormat="1" applyFont="1" applyFill="1" applyBorder="1" applyAlignment="1" applyProtection="1">
      <alignment horizontal="center" vertical="center"/>
      <protection hidden="1"/>
    </xf>
    <xf numFmtId="164" fontId="14" fillId="0" borderId="18" xfId="44" applyNumberFormat="1" applyFont="1" applyFill="1" applyBorder="1" applyAlignment="1" applyProtection="1">
      <alignment horizontal="center" vertical="center"/>
      <protection locked="0"/>
    </xf>
    <xf numFmtId="0" fontId="50" fillId="24" borderId="0" xfId="44" applyFont="1" applyFill="1" applyBorder="1" applyAlignment="1" applyProtection="1">
      <alignment vertical="center"/>
      <protection hidden="1"/>
    </xf>
    <xf numFmtId="0" fontId="14" fillId="24" borderId="18" xfId="44" applyFont="1" applyFill="1" applyBorder="1" applyAlignment="1" applyProtection="1">
      <alignment vertical="center"/>
      <protection locked="0"/>
    </xf>
    <xf numFmtId="0" fontId="14" fillId="0" borderId="18" xfId="44" applyFont="1" applyFill="1" applyBorder="1" applyAlignment="1" applyProtection="1">
      <alignment vertical="center"/>
      <protection locked="0"/>
    </xf>
    <xf numFmtId="0" fontId="14" fillId="0" borderId="19" xfId="44" applyFont="1" applyFill="1" applyBorder="1" applyAlignment="1" applyProtection="1">
      <alignment vertical="center"/>
      <protection locked="0"/>
    </xf>
    <xf numFmtId="0" fontId="14" fillId="24" borderId="14" xfId="0" applyFont="1" applyFill="1" applyBorder="1" applyAlignment="1" applyProtection="1">
      <alignment vertical="top"/>
      <protection hidden="1"/>
    </xf>
    <xf numFmtId="0" fontId="0" fillId="0" borderId="19" xfId="0" applyBorder="1" applyAlignment="1">
      <alignment vertical="top"/>
    </xf>
    <xf numFmtId="0" fontId="14" fillId="24" borderId="10" xfId="0" applyFont="1" applyFill="1" applyBorder="1" applyAlignment="1" applyProtection="1">
      <alignment horizontal="centerContinuous"/>
      <protection hidden="1"/>
    </xf>
    <xf numFmtId="0" fontId="14" fillId="24" borderId="14" xfId="0" applyFont="1" applyFill="1" applyBorder="1" applyAlignment="1" applyProtection="1">
      <alignment horizontal="centerContinuous"/>
      <protection hidden="1"/>
    </xf>
    <xf numFmtId="0" fontId="14" fillId="24" borderId="44" xfId="0" applyFont="1" applyFill="1" applyBorder="1" applyAlignment="1" applyProtection="1">
      <alignment horizontal="centerContinuous"/>
      <protection hidden="1"/>
    </xf>
    <xf numFmtId="0" fontId="14" fillId="24" borderId="45" xfId="0" applyFont="1" applyFill="1" applyBorder="1" applyAlignment="1" applyProtection="1">
      <alignment horizontal="centerContinuous"/>
      <protection hidden="1"/>
    </xf>
    <xf numFmtId="0" fontId="14" fillId="0" borderId="12" xfId="44" applyFont="1" applyFill="1" applyBorder="1" applyAlignment="1" applyProtection="1">
      <alignment horizontal="center" vertical="center"/>
      <protection hidden="1"/>
    </xf>
    <xf numFmtId="0" fontId="49" fillId="24" borderId="19" xfId="44" applyFont="1" applyFill="1" applyBorder="1" applyAlignment="1" applyProtection="1">
      <alignment horizontal="center" vertical="center"/>
      <protection hidden="1"/>
    </xf>
    <xf numFmtId="0" fontId="9" fillId="24" borderId="46" xfId="0" applyFont="1" applyFill="1" applyBorder="1" applyProtection="1">
      <protection hidden="1"/>
    </xf>
    <xf numFmtId="0" fontId="9" fillId="24" borderId="45" xfId="0" applyFont="1" applyFill="1" applyBorder="1" applyProtection="1">
      <protection hidden="1"/>
    </xf>
    <xf numFmtId="0" fontId="9" fillId="24" borderId="45" xfId="0" applyFont="1" applyFill="1" applyBorder="1" applyAlignment="1" applyProtection="1">
      <protection hidden="1"/>
    </xf>
    <xf numFmtId="0" fontId="9" fillId="24" borderId="46" xfId="0" applyFont="1" applyFill="1" applyBorder="1" applyAlignment="1" applyProtection="1">
      <protection hidden="1"/>
    </xf>
    <xf numFmtId="0" fontId="9" fillId="24" borderId="47" xfId="0" applyFont="1" applyFill="1" applyBorder="1" applyProtection="1">
      <protection hidden="1"/>
    </xf>
    <xf numFmtId="0" fontId="9" fillId="24" borderId="24" xfId="0" applyFont="1" applyFill="1" applyBorder="1" applyAlignment="1" applyProtection="1">
      <protection hidden="1"/>
    </xf>
    <xf numFmtId="0" fontId="9" fillId="24" borderId="0" xfId="0" applyFont="1" applyFill="1" applyBorder="1" applyProtection="1">
      <protection hidden="1"/>
    </xf>
    <xf numFmtId="0" fontId="37" fillId="24" borderId="0" xfId="0" applyFont="1" applyFill="1" applyProtection="1">
      <protection hidden="1"/>
    </xf>
    <xf numFmtId="0" fontId="2" fillId="26" borderId="20" xfId="44" applyFont="1" applyFill="1" applyBorder="1" applyAlignment="1" applyProtection="1">
      <alignment horizontal="center" vertical="center"/>
      <protection hidden="1"/>
    </xf>
    <xf numFmtId="0" fontId="49" fillId="26" borderId="11" xfId="44" applyFont="1" applyFill="1" applyBorder="1" applyAlignment="1" applyProtection="1">
      <alignment horizontal="center" vertical="center"/>
      <protection hidden="1"/>
    </xf>
    <xf numFmtId="2" fontId="38" fillId="0" borderId="11" xfId="44" applyNumberFormat="1" applyFont="1" applyFill="1" applyBorder="1" applyAlignment="1" applyProtection="1">
      <alignment horizontal="center" vertical="center"/>
      <protection hidden="1"/>
    </xf>
    <xf numFmtId="164" fontId="14" fillId="24" borderId="9" xfId="0" applyNumberFormat="1" applyFont="1" applyFill="1" applyBorder="1" applyAlignment="1" applyProtection="1">
      <alignment horizontal="center"/>
      <protection hidden="1"/>
    </xf>
    <xf numFmtId="164" fontId="14" fillId="24" borderId="8" xfId="0" applyNumberFormat="1" applyFont="1" applyFill="1" applyBorder="1" applyAlignment="1" applyProtection="1">
      <alignment horizontal="center"/>
      <protection hidden="1"/>
    </xf>
    <xf numFmtId="164" fontId="14" fillId="24" borderId="26" xfId="0" applyNumberFormat="1" applyFont="1" applyFill="1" applyBorder="1" applyAlignment="1" applyProtection="1">
      <alignment horizontal="center"/>
      <protection hidden="1"/>
    </xf>
    <xf numFmtId="164" fontId="14" fillId="24" borderId="21" xfId="0" applyNumberFormat="1" applyFont="1" applyFill="1" applyBorder="1" applyAlignment="1" applyProtection="1">
      <alignment horizontal="center"/>
      <protection hidden="1"/>
    </xf>
    <xf numFmtId="164" fontId="14" fillId="24" borderId="27" xfId="0" applyNumberFormat="1" applyFont="1" applyFill="1" applyBorder="1" applyAlignment="1" applyProtection="1">
      <alignment horizontal="center"/>
      <protection hidden="1"/>
    </xf>
    <xf numFmtId="164" fontId="14" fillId="24" borderId="25" xfId="0" applyNumberFormat="1" applyFont="1" applyFill="1" applyBorder="1" applyAlignment="1" applyProtection="1">
      <alignment horizontal="center"/>
      <protection hidden="1"/>
    </xf>
    <xf numFmtId="0" fontId="2" fillId="26" borderId="8" xfId="44" applyFont="1" applyFill="1" applyBorder="1" applyAlignment="1" applyProtection="1">
      <alignment horizontal="center" vertical="center"/>
      <protection hidden="1"/>
    </xf>
    <xf numFmtId="2" fontId="14" fillId="0" borderId="24" xfId="46" applyNumberFormat="1" applyFont="1" applyBorder="1" applyAlignment="1" applyProtection="1">
      <alignment horizontal="center"/>
      <protection hidden="1"/>
    </xf>
    <xf numFmtId="0" fontId="40" fillId="24" borderId="10" xfId="46" applyFont="1" applyFill="1" applyBorder="1" applyAlignment="1" applyProtection="1">
      <alignment horizontal="center" vertical="top" wrapText="1"/>
      <protection hidden="1"/>
    </xf>
    <xf numFmtId="2" fontId="14" fillId="24" borderId="0" xfId="44" applyNumberFormat="1" applyFont="1" applyFill="1" applyBorder="1" applyAlignment="1" applyProtection="1">
      <alignment vertical="center"/>
      <protection locked="0"/>
    </xf>
    <xf numFmtId="0" fontId="9" fillId="24" borderId="0" xfId="44" applyFont="1" applyFill="1" applyBorder="1" applyAlignment="1" applyProtection="1">
      <alignment vertical="center"/>
      <protection locked="0"/>
    </xf>
    <xf numFmtId="0" fontId="2" fillId="26" borderId="26" xfId="44" applyFont="1" applyFill="1" applyBorder="1" applyAlignment="1" applyProtection="1">
      <alignment horizontal="center" vertical="center"/>
      <protection hidden="1"/>
    </xf>
    <xf numFmtId="2" fontId="2" fillId="24" borderId="8" xfId="44" applyNumberFormat="1" applyFont="1" applyFill="1" applyBorder="1" applyAlignment="1" applyProtection="1">
      <alignment horizontal="center" vertical="center"/>
      <protection hidden="1"/>
    </xf>
    <xf numFmtId="164" fontId="2" fillId="24" borderId="8" xfId="44" applyNumberFormat="1" applyFont="1" applyFill="1" applyBorder="1" applyAlignment="1" applyProtection="1">
      <alignment horizontal="center" vertical="center"/>
      <protection hidden="1"/>
    </xf>
    <xf numFmtId="166" fontId="2" fillId="24" borderId="8" xfId="44" applyNumberFormat="1" applyFont="1" applyFill="1" applyBorder="1" applyAlignment="1" applyProtection="1">
      <alignment horizontal="center" vertical="center"/>
      <protection hidden="1"/>
    </xf>
    <xf numFmtId="2" fontId="2" fillId="24" borderId="21" xfId="44" applyNumberFormat="1" applyFont="1" applyFill="1" applyBorder="1" applyAlignment="1" applyProtection="1">
      <alignment horizontal="center" vertical="center"/>
      <protection hidden="1"/>
    </xf>
    <xf numFmtId="164" fontId="2" fillId="24" borderId="21" xfId="44" applyNumberFormat="1" applyFont="1" applyFill="1" applyBorder="1" applyAlignment="1" applyProtection="1">
      <alignment horizontal="center" vertical="center"/>
      <protection hidden="1"/>
    </xf>
    <xf numFmtId="166" fontId="2" fillId="24" borderId="21" xfId="44" applyNumberFormat="1" applyFont="1" applyFill="1" applyBorder="1" applyAlignment="1" applyProtection="1">
      <alignment horizontal="center" vertical="center"/>
      <protection hidden="1"/>
    </xf>
    <xf numFmtId="2" fontId="26" fillId="24" borderId="0" xfId="44" applyNumberFormat="1" applyFont="1" applyFill="1" applyBorder="1" applyAlignment="1" applyProtection="1">
      <alignment vertical="center"/>
      <protection hidden="1"/>
    </xf>
    <xf numFmtId="0" fontId="14" fillId="24" borderId="0" xfId="46" applyFont="1" applyFill="1" applyBorder="1" applyAlignment="1" applyProtection="1">
      <alignment horizontal="center" vertical="top" wrapText="1"/>
      <protection locked="0"/>
    </xf>
    <xf numFmtId="2" fontId="14" fillId="0" borderId="0" xfId="46" applyNumberFormat="1" applyFont="1" applyBorder="1" applyAlignment="1" applyProtection="1">
      <alignment horizontal="center"/>
      <protection locked="0"/>
    </xf>
    <xf numFmtId="0" fontId="14" fillId="0" borderId="0" xfId="46" applyFont="1" applyBorder="1" applyAlignment="1" applyProtection="1">
      <alignment horizontal="center"/>
      <protection locked="0"/>
    </xf>
    <xf numFmtId="166" fontId="14" fillId="0" borderId="0" xfId="46" applyNumberFormat="1" applyFont="1" applyBorder="1" applyAlignment="1" applyProtection="1">
      <alignment horizontal="center"/>
      <protection locked="0"/>
    </xf>
    <xf numFmtId="164" fontId="14" fillId="0" borderId="0" xfId="46" applyNumberFormat="1" applyFont="1" applyBorder="1" applyAlignment="1" applyProtection="1">
      <alignment horizontal="center"/>
      <protection locked="0"/>
    </xf>
    <xf numFmtId="2" fontId="14" fillId="24" borderId="0" xfId="46" applyNumberFormat="1" applyFont="1" applyFill="1" applyBorder="1" applyAlignment="1" applyProtection="1">
      <protection locked="0"/>
    </xf>
    <xf numFmtId="0" fontId="14" fillId="24" borderId="0" xfId="46" applyFont="1" applyFill="1" applyBorder="1" applyAlignment="1" applyProtection="1">
      <protection locked="0"/>
    </xf>
    <xf numFmtId="0" fontId="19" fillId="26" borderId="27" xfId="46" applyFont="1" applyFill="1" applyBorder="1" applyAlignment="1" applyProtection="1">
      <alignment horizontal="center"/>
      <protection hidden="1"/>
    </xf>
    <xf numFmtId="0" fontId="15" fillId="26" borderId="25" xfId="46" applyNumberFormat="1" applyFont="1" applyFill="1" applyBorder="1" applyAlignment="1" applyProtection="1">
      <alignment horizontal="center" vertical="top" wrapText="1"/>
      <protection hidden="1"/>
    </xf>
    <xf numFmtId="0" fontId="19" fillId="26" borderId="12" xfId="46" applyFont="1" applyFill="1" applyBorder="1" applyAlignment="1" applyProtection="1">
      <alignment horizontal="center"/>
      <protection hidden="1"/>
    </xf>
    <xf numFmtId="0" fontId="19" fillId="26" borderId="15" xfId="46" applyFont="1" applyFill="1" applyBorder="1" applyAlignment="1" applyProtection="1">
      <alignment horizontal="center" vertical="top"/>
      <protection hidden="1"/>
    </xf>
    <xf numFmtId="0" fontId="19" fillId="26" borderId="17" xfId="46" applyFont="1" applyFill="1" applyBorder="1" applyAlignment="1" applyProtection="1">
      <alignment horizontal="center" vertical="top"/>
      <protection hidden="1"/>
    </xf>
    <xf numFmtId="0" fontId="2" fillId="26" borderId="16" xfId="44" applyFont="1" applyFill="1" applyBorder="1" applyAlignment="1" applyProtection="1">
      <alignment horizontal="center" vertical="center"/>
      <protection hidden="1"/>
    </xf>
    <xf numFmtId="2" fontId="14" fillId="0" borderId="25" xfId="46" applyNumberFormat="1" applyFont="1" applyBorder="1" applyAlignment="1" applyProtection="1">
      <alignment horizontal="center"/>
      <protection hidden="1"/>
    </xf>
    <xf numFmtId="165" fontId="14" fillId="25" borderId="9" xfId="44" applyNumberFormat="1" applyFont="1" applyFill="1" applyBorder="1" applyAlignment="1" applyProtection="1">
      <alignment horizontal="center" vertical="center"/>
      <protection locked="0"/>
    </xf>
    <xf numFmtId="165" fontId="14" fillId="25" borderId="21" xfId="44" applyNumberFormat="1" applyFont="1" applyFill="1" applyBorder="1" applyAlignment="1" applyProtection="1">
      <alignment horizontal="center" vertical="center"/>
      <protection locked="0"/>
    </xf>
    <xf numFmtId="165" fontId="14" fillId="0" borderId="9" xfId="46" applyNumberFormat="1" applyFont="1" applyFill="1" applyBorder="1" applyAlignment="1" applyProtection="1">
      <alignment horizontal="center"/>
      <protection hidden="1"/>
    </xf>
    <xf numFmtId="165" fontId="14" fillId="0" borderId="8" xfId="46" applyNumberFormat="1" applyFont="1" applyFill="1" applyBorder="1" applyAlignment="1" applyProtection="1">
      <alignment horizontal="center"/>
      <protection hidden="1"/>
    </xf>
    <xf numFmtId="165" fontId="14" fillId="0" borderId="8" xfId="46" applyNumberFormat="1" applyFont="1" applyBorder="1" applyAlignment="1" applyProtection="1">
      <alignment horizontal="center"/>
      <protection hidden="1"/>
    </xf>
    <xf numFmtId="165" fontId="14" fillId="24" borderId="8" xfId="44" applyNumberFormat="1" applyFont="1" applyFill="1" applyBorder="1" applyAlignment="1" applyProtection="1">
      <alignment horizontal="center" vertical="center"/>
      <protection hidden="1"/>
    </xf>
    <xf numFmtId="165" fontId="14" fillId="0" borderId="8" xfId="44" applyNumberFormat="1" applyFont="1" applyFill="1" applyBorder="1" applyAlignment="1" applyProtection="1">
      <alignment horizontal="center" vertical="center"/>
      <protection hidden="1"/>
    </xf>
    <xf numFmtId="165" fontId="14" fillId="24" borderId="21" xfId="44" applyNumberFormat="1" applyFont="1" applyFill="1" applyBorder="1" applyAlignment="1" applyProtection="1">
      <alignment horizontal="center" vertical="center"/>
      <protection hidden="1"/>
    </xf>
    <xf numFmtId="165" fontId="14" fillId="0" borderId="21" xfId="46" applyNumberFormat="1" applyFont="1" applyFill="1" applyBorder="1" applyAlignment="1" applyProtection="1">
      <alignment horizontal="center"/>
      <protection hidden="1"/>
    </xf>
    <xf numFmtId="0" fontId="2" fillId="26" borderId="27" xfId="44" applyFont="1" applyFill="1" applyBorder="1" applyAlignment="1" applyProtection="1">
      <alignment horizontal="center" vertical="center"/>
      <protection hidden="1"/>
    </xf>
    <xf numFmtId="164" fontId="10" fillId="24" borderId="9" xfId="44" applyNumberFormat="1" applyFont="1" applyFill="1" applyBorder="1" applyAlignment="1" applyProtection="1">
      <alignment horizontal="center" vertical="center"/>
      <protection hidden="1"/>
    </xf>
    <xf numFmtId="164" fontId="2" fillId="24" borderId="0" xfId="44" applyNumberFormat="1" applyFont="1" applyFill="1" applyBorder="1" applyAlignment="1" applyProtection="1">
      <alignment vertical="center"/>
      <protection hidden="1"/>
    </xf>
    <xf numFmtId="0" fontId="40" fillId="24" borderId="0" xfId="44" applyFont="1" applyFill="1" applyBorder="1" applyAlignment="1" applyProtection="1">
      <alignment horizontal="left" vertical="center"/>
      <protection hidden="1"/>
    </xf>
    <xf numFmtId="0" fontId="2" fillId="26" borderId="12" xfId="44" applyFont="1" applyFill="1" applyBorder="1" applyAlignment="1" applyProtection="1">
      <alignment horizontal="center" vertical="center"/>
      <protection hidden="1"/>
    </xf>
    <xf numFmtId="0" fontId="19" fillId="26" borderId="15" xfId="46" applyFont="1" applyFill="1" applyBorder="1" applyAlignment="1" applyProtection="1">
      <alignment horizontal="center"/>
      <protection hidden="1"/>
    </xf>
    <xf numFmtId="0" fontId="37" fillId="26" borderId="17" xfId="44" applyFont="1" applyFill="1" applyBorder="1" applyAlignment="1" applyProtection="1">
      <alignment horizontal="center" vertical="center"/>
      <protection hidden="1"/>
    </xf>
    <xf numFmtId="164" fontId="10" fillId="24" borderId="25" xfId="44" applyNumberFormat="1" applyFont="1" applyFill="1" applyBorder="1" applyAlignment="1" applyProtection="1">
      <alignment horizontal="center" vertical="center"/>
      <protection hidden="1"/>
    </xf>
    <xf numFmtId="0" fontId="40" fillId="26" borderId="11" xfId="44" applyFont="1" applyFill="1" applyBorder="1" applyAlignment="1" applyProtection="1">
      <alignment horizontal="center" vertical="center"/>
      <protection hidden="1"/>
    </xf>
    <xf numFmtId="0" fontId="2" fillId="26" borderId="13" xfId="44" applyFont="1" applyFill="1" applyBorder="1" applyAlignment="1" applyProtection="1">
      <alignment horizontal="center" vertical="center"/>
      <protection hidden="1"/>
    </xf>
    <xf numFmtId="0" fontId="19" fillId="26" borderId="0" xfId="46" applyFont="1" applyFill="1" applyBorder="1" applyAlignment="1" applyProtection="1">
      <alignment horizontal="center"/>
      <protection hidden="1"/>
    </xf>
    <xf numFmtId="0" fontId="37" fillId="26" borderId="18" xfId="44" applyFont="1" applyFill="1" applyBorder="1" applyAlignment="1" applyProtection="1">
      <alignment horizontal="center" vertical="center"/>
      <protection hidden="1"/>
    </xf>
    <xf numFmtId="164" fontId="10" fillId="24" borderId="11" xfId="44" applyNumberFormat="1" applyFont="1" applyFill="1" applyBorder="1" applyAlignment="1" applyProtection="1">
      <alignment horizontal="center" vertical="center"/>
      <protection hidden="1"/>
    </xf>
    <xf numFmtId="2" fontId="14" fillId="24" borderId="25" xfId="0" applyNumberFormat="1" applyFont="1" applyFill="1" applyBorder="1" applyAlignment="1" applyProtection="1">
      <alignment horizontal="center"/>
      <protection hidden="1"/>
    </xf>
    <xf numFmtId="0" fontId="14" fillId="24" borderId="18" xfId="0" applyFont="1" applyFill="1" applyBorder="1" applyProtection="1">
      <protection hidden="1"/>
    </xf>
    <xf numFmtId="0" fontId="9" fillId="24" borderId="48" xfId="0" applyFont="1" applyFill="1" applyBorder="1" applyProtection="1">
      <protection hidden="1"/>
    </xf>
    <xf numFmtId="0" fontId="14" fillId="24" borderId="25" xfId="0" applyFont="1" applyFill="1" applyBorder="1" applyAlignment="1" applyProtection="1">
      <alignment horizontal="centerContinuous"/>
      <protection hidden="1"/>
    </xf>
    <xf numFmtId="0" fontId="14" fillId="24" borderId="22" xfId="0" applyFont="1" applyFill="1" applyBorder="1" applyAlignment="1" applyProtection="1">
      <alignment horizontal="center"/>
      <protection hidden="1"/>
    </xf>
    <xf numFmtId="0" fontId="14" fillId="24" borderId="24" xfId="0" applyFont="1" applyFill="1" applyBorder="1" applyAlignment="1" applyProtection="1">
      <alignment horizontal="center"/>
      <protection hidden="1"/>
    </xf>
    <xf numFmtId="0" fontId="14" fillId="24" borderId="23" xfId="0" applyFont="1" applyFill="1" applyBorder="1" applyAlignment="1" applyProtection="1">
      <alignment horizontal="center"/>
      <protection hidden="1"/>
    </xf>
    <xf numFmtId="165" fontId="14" fillId="0" borderId="21" xfId="46" applyNumberFormat="1" applyFont="1" applyBorder="1" applyAlignment="1" applyProtection="1">
      <alignment horizontal="center"/>
      <protection hidden="1"/>
    </xf>
    <xf numFmtId="0" fontId="42" fillId="24" borderId="0" xfId="47" applyFont="1" applyFill="1"/>
    <xf numFmtId="0" fontId="42" fillId="24" borderId="0" xfId="47" applyFont="1" applyFill="1" applyBorder="1" applyAlignment="1"/>
    <xf numFmtId="165" fontId="14" fillId="24" borderId="0" xfId="44" applyNumberFormat="1" applyFont="1" applyFill="1" applyBorder="1" applyAlignment="1" applyProtection="1">
      <alignment horizontal="centerContinuous" vertical="center"/>
      <protection hidden="1"/>
    </xf>
    <xf numFmtId="0" fontId="42" fillId="24" borderId="0" xfId="44" applyFont="1" applyFill="1" applyBorder="1" applyAlignment="1" applyProtection="1">
      <alignment horizontal="centerContinuous" vertical="center"/>
      <protection hidden="1"/>
    </xf>
    <xf numFmtId="0" fontId="64" fillId="24" borderId="0" xfId="47" applyFont="1" applyFill="1" applyBorder="1" applyAlignment="1">
      <alignment horizontal="centerContinuous"/>
    </xf>
    <xf numFmtId="0" fontId="38" fillId="24" borderId="24" xfId="44" applyFont="1" applyFill="1" applyBorder="1" applyAlignment="1" applyProtection="1">
      <alignment horizontal="center" vertical="center"/>
      <protection hidden="1"/>
    </xf>
    <xf numFmtId="0" fontId="14" fillId="24" borderId="25" xfId="44" applyFont="1" applyFill="1" applyBorder="1" applyAlignment="1" applyProtection="1">
      <alignment horizontal="center" vertical="center"/>
      <protection hidden="1"/>
    </xf>
    <xf numFmtId="165" fontId="15" fillId="24" borderId="0" xfId="44" applyNumberFormat="1" applyFont="1" applyFill="1" applyBorder="1" applyAlignment="1" applyProtection="1">
      <alignment horizontal="center" vertical="center"/>
      <protection hidden="1"/>
    </xf>
    <xf numFmtId="165" fontId="42" fillId="24" borderId="0" xfId="44" applyNumberFormat="1" applyFont="1" applyFill="1" applyBorder="1" applyAlignment="1" applyProtection="1">
      <alignment horizontal="centerContinuous" vertical="center"/>
      <protection hidden="1"/>
    </xf>
    <xf numFmtId="0" fontId="42" fillId="24" borderId="0" xfId="44" applyFont="1" applyFill="1" applyAlignment="1" applyProtection="1">
      <alignment horizontal="centerContinuous" vertical="center"/>
      <protection hidden="1"/>
    </xf>
    <xf numFmtId="0" fontId="26" fillId="24" borderId="15" xfId="44" applyFont="1" applyFill="1" applyBorder="1" applyAlignment="1" applyProtection="1">
      <alignment vertical="center"/>
      <protection hidden="1"/>
    </xf>
    <xf numFmtId="0" fontId="14" fillId="0" borderId="17" xfId="44" applyFont="1" applyFill="1" applyBorder="1" applyAlignment="1" applyProtection="1">
      <alignment horizontal="centerContinuous" vertical="center"/>
      <protection hidden="1"/>
    </xf>
    <xf numFmtId="164" fontId="10" fillId="25" borderId="27" xfId="44" applyNumberFormat="1" applyFont="1" applyFill="1" applyBorder="1" applyAlignment="1" applyProtection="1">
      <alignment horizontal="center" vertical="center"/>
      <protection locked="0"/>
    </xf>
    <xf numFmtId="164" fontId="14" fillId="24" borderId="11" xfId="44" applyNumberFormat="1" applyFont="1" applyFill="1" applyBorder="1" applyAlignment="1" applyProtection="1">
      <alignment horizontal="center" vertical="center"/>
      <protection hidden="1"/>
    </xf>
    <xf numFmtId="164" fontId="14" fillId="24" borderId="10" xfId="44" applyNumberFormat="1" applyFont="1" applyFill="1" applyBorder="1" applyAlignment="1" applyProtection="1">
      <alignment horizontal="center" vertical="center"/>
      <protection hidden="1"/>
    </xf>
    <xf numFmtId="165" fontId="14" fillId="0" borderId="9" xfId="46" applyNumberFormat="1" applyFont="1" applyBorder="1" applyAlignment="1" applyProtection="1">
      <alignment horizontal="center"/>
      <protection hidden="1"/>
    </xf>
    <xf numFmtId="164" fontId="14" fillId="24" borderId="25" xfId="44" applyNumberFormat="1" applyFont="1" applyFill="1" applyBorder="1" applyAlignment="1" applyProtection="1">
      <alignment horizontal="center" vertical="center"/>
      <protection hidden="1"/>
    </xf>
    <xf numFmtId="0" fontId="14" fillId="0" borderId="12" xfId="44" applyFont="1" applyFill="1" applyBorder="1" applyAlignment="1" applyProtection="1">
      <alignment horizontal="centerContinuous" vertical="center"/>
      <protection hidden="1"/>
    </xf>
    <xf numFmtId="0" fontId="10" fillId="24" borderId="0" xfId="44" applyFont="1" applyFill="1" applyAlignment="1" applyProtection="1">
      <alignment horizontal="centerContinuous" vertical="center"/>
      <protection hidden="1"/>
    </xf>
    <xf numFmtId="164" fontId="14" fillId="0" borderId="0" xfId="44" applyNumberFormat="1" applyFont="1" applyFill="1" applyBorder="1" applyAlignment="1" applyProtection="1">
      <alignment horizontal="center" vertical="center"/>
      <protection locked="0"/>
    </xf>
    <xf numFmtId="0" fontId="14" fillId="0" borderId="0" xfId="44" applyFont="1" applyFill="1" applyBorder="1" applyAlignment="1" applyProtection="1">
      <alignment vertical="center"/>
      <protection locked="0"/>
    </xf>
    <xf numFmtId="0" fontId="14" fillId="0" borderId="16" xfId="44" applyFont="1" applyFill="1" applyBorder="1" applyAlignment="1" applyProtection="1">
      <alignment vertical="center"/>
      <protection locked="0"/>
    </xf>
    <xf numFmtId="0" fontId="14" fillId="24" borderId="19" xfId="44" applyFont="1" applyFill="1" applyBorder="1" applyAlignment="1" applyProtection="1">
      <alignment vertical="center"/>
      <protection locked="0"/>
    </xf>
    <xf numFmtId="0" fontId="83" fillId="24" borderId="15" xfId="44" applyFont="1" applyFill="1" applyBorder="1" applyAlignment="1" applyProtection="1">
      <alignment vertical="center"/>
      <protection locked="0"/>
    </xf>
    <xf numFmtId="0" fontId="10" fillId="24" borderId="17" xfId="44" applyFont="1" applyFill="1" applyBorder="1" applyAlignment="1" applyProtection="1">
      <alignment vertical="center"/>
      <protection hidden="1"/>
    </xf>
    <xf numFmtId="0" fontId="9" fillId="24" borderId="16" xfId="44" applyFont="1" applyFill="1" applyBorder="1" applyAlignment="1" applyProtection="1">
      <alignment vertical="center"/>
      <protection hidden="1"/>
    </xf>
    <xf numFmtId="0" fontId="9" fillId="24" borderId="19" xfId="44" applyFont="1" applyFill="1" applyBorder="1" applyAlignment="1" applyProtection="1">
      <alignment vertical="center"/>
      <protection hidden="1"/>
    </xf>
    <xf numFmtId="0" fontId="9" fillId="24" borderId="0" xfId="44" applyFont="1" applyFill="1" applyAlignment="1" applyProtection="1">
      <alignment vertical="center"/>
      <protection hidden="1"/>
    </xf>
    <xf numFmtId="0" fontId="9" fillId="24" borderId="44" xfId="0" applyFont="1" applyFill="1" applyBorder="1" applyProtection="1">
      <protection hidden="1"/>
    </xf>
    <xf numFmtId="0" fontId="10" fillId="24" borderId="15" xfId="44" applyFont="1" applyFill="1" applyBorder="1" applyAlignment="1" applyProtection="1">
      <alignment vertical="center"/>
      <protection hidden="1"/>
    </xf>
    <xf numFmtId="49" fontId="14" fillId="24" borderId="0" xfId="0" applyNumberFormat="1" applyFont="1" applyFill="1" applyBorder="1" applyAlignment="1" applyProtection="1">
      <alignment horizontal="center"/>
      <protection hidden="1"/>
    </xf>
    <xf numFmtId="0" fontId="84" fillId="24" borderId="0" xfId="44" applyFont="1" applyFill="1" applyBorder="1" applyAlignment="1" applyProtection="1">
      <alignment vertical="center"/>
      <protection hidden="1"/>
    </xf>
    <xf numFmtId="0" fontId="37" fillId="0" borderId="0" xfId="0" applyFont="1" applyFill="1" applyBorder="1" applyProtection="1">
      <protection hidden="1"/>
    </xf>
    <xf numFmtId="0" fontId="19" fillId="0" borderId="0" xfId="44" applyFont="1" applyFill="1" applyBorder="1" applyAlignment="1" applyProtection="1">
      <alignment horizontal="center" vertical="center"/>
      <protection hidden="1"/>
    </xf>
    <xf numFmtId="0" fontId="19" fillId="0" borderId="0" xfId="0" applyFont="1" applyFill="1" applyBorder="1" applyAlignment="1" applyProtection="1">
      <alignment horizontal="center"/>
      <protection hidden="1"/>
    </xf>
    <xf numFmtId="0" fontId="8" fillId="0" borderId="0" xfId="0" applyFont="1" applyFill="1" applyBorder="1" applyAlignment="1" applyProtection="1">
      <alignment horizontal="center"/>
      <protection hidden="1"/>
    </xf>
    <xf numFmtId="0" fontId="7" fillId="0" borderId="0" xfId="0" applyFont="1" applyFill="1" applyBorder="1" applyAlignment="1" applyProtection="1">
      <alignment horizontal="center"/>
      <protection hidden="1"/>
    </xf>
    <xf numFmtId="0" fontId="43" fillId="0" borderId="0" xfId="0" applyFont="1" applyFill="1" applyBorder="1" applyProtection="1">
      <protection hidden="1"/>
    </xf>
    <xf numFmtId="0" fontId="43" fillId="0" borderId="0" xfId="0" applyFont="1" applyFill="1" applyBorder="1" applyAlignment="1" applyProtection="1">
      <alignment horizontal="center"/>
      <protection hidden="1"/>
    </xf>
    <xf numFmtId="0" fontId="43" fillId="0" borderId="0" xfId="0" applyFont="1" applyFill="1" applyBorder="1" applyAlignment="1" applyProtection="1">
      <protection hidden="1"/>
    </xf>
    <xf numFmtId="0" fontId="55" fillId="0" borderId="0" xfId="0" applyFont="1" applyFill="1" applyBorder="1" applyProtection="1">
      <protection hidden="1"/>
    </xf>
    <xf numFmtId="0" fontId="18" fillId="0" borderId="0" xfId="0" applyFont="1" applyFill="1" applyBorder="1" applyProtection="1">
      <protection hidden="1"/>
    </xf>
    <xf numFmtId="0" fontId="18" fillId="0" borderId="0" xfId="0" quotePrefix="1" applyFont="1" applyFill="1" applyBorder="1" applyAlignment="1" applyProtection="1">
      <protection hidden="1"/>
    </xf>
    <xf numFmtId="0" fontId="0" fillId="0" borderId="0" xfId="0" applyFill="1" applyBorder="1" applyAlignment="1"/>
    <xf numFmtId="49" fontId="9" fillId="0" borderId="0" xfId="0" applyNumberFormat="1" applyFont="1" applyFill="1" applyBorder="1" applyAlignment="1" applyProtection="1">
      <protection hidden="1"/>
    </xf>
    <xf numFmtId="0" fontId="53" fillId="0" borderId="0" xfId="0" applyFont="1" applyFill="1" applyBorder="1" applyAlignment="1" applyProtection="1">
      <alignment horizontal="center"/>
      <protection hidden="1"/>
    </xf>
    <xf numFmtId="0" fontId="9" fillId="0" borderId="0" xfId="0" applyFont="1" applyFill="1" applyBorder="1" applyAlignment="1" applyProtection="1">
      <alignment horizontal="center"/>
      <protection hidden="1"/>
    </xf>
    <xf numFmtId="0" fontId="54" fillId="0" borderId="0" xfId="0" applyFont="1" applyFill="1" applyBorder="1" applyAlignment="1" applyProtection="1">
      <alignment horizontal="center"/>
      <protection hidden="1"/>
    </xf>
    <xf numFmtId="0" fontId="55" fillId="0" borderId="0" xfId="0" quotePrefix="1" applyFont="1" applyFill="1" applyBorder="1" applyProtection="1">
      <protection hidden="1"/>
    </xf>
    <xf numFmtId="0" fontId="56" fillId="0" borderId="0" xfId="0" applyFont="1" applyFill="1" applyBorder="1" applyProtection="1">
      <protection hidden="1"/>
    </xf>
    <xf numFmtId="0" fontId="85" fillId="24" borderId="13" xfId="44" applyFont="1" applyFill="1" applyBorder="1" applyAlignment="1" applyProtection="1">
      <alignment vertical="center"/>
      <protection hidden="1"/>
    </xf>
    <xf numFmtId="0" fontId="38" fillId="24" borderId="10" xfId="44" applyFont="1" applyFill="1" applyBorder="1" applyAlignment="1" applyProtection="1">
      <alignment horizontal="center" vertical="center"/>
    </xf>
    <xf numFmtId="0" fontId="10" fillId="24" borderId="0" xfId="44" applyFont="1" applyFill="1" applyBorder="1" applyAlignment="1" applyProtection="1">
      <alignment horizontal="right" vertical="center"/>
    </xf>
    <xf numFmtId="0" fontId="14" fillId="24" borderId="0" xfId="44" applyFont="1" applyFill="1" applyBorder="1" applyAlignment="1" applyProtection="1">
      <alignment horizontal="center" vertical="center"/>
    </xf>
    <xf numFmtId="0" fontId="14" fillId="24" borderId="0" xfId="44" applyFont="1" applyFill="1" applyBorder="1" applyAlignment="1" applyProtection="1">
      <alignment vertical="center"/>
    </xf>
    <xf numFmtId="165" fontId="10" fillId="24" borderId="0" xfId="44" applyNumberFormat="1" applyFont="1" applyFill="1" applyBorder="1" applyAlignment="1" applyProtection="1">
      <alignment horizontal="center" vertical="center"/>
    </xf>
    <xf numFmtId="0" fontId="9" fillId="24" borderId="0" xfId="44" applyFont="1" applyFill="1" applyBorder="1" applyAlignment="1" applyProtection="1">
      <alignment vertical="center"/>
    </xf>
    <xf numFmtId="0" fontId="14" fillId="24" borderId="0" xfId="44" applyFont="1" applyFill="1" applyBorder="1" applyAlignment="1" applyProtection="1">
      <alignment horizontal="left" vertical="center"/>
    </xf>
    <xf numFmtId="0" fontId="10" fillId="24" borderId="0" xfId="44" applyFont="1" applyFill="1" applyBorder="1" applyAlignment="1" applyProtection="1">
      <alignment vertical="center"/>
    </xf>
    <xf numFmtId="0" fontId="14" fillId="24" borderId="0" xfId="44" applyFont="1" applyFill="1" applyBorder="1" applyAlignment="1" applyProtection="1">
      <alignment horizontal="right" vertical="center"/>
    </xf>
    <xf numFmtId="165" fontId="14" fillId="24" borderId="0" xfId="44" applyNumberFormat="1" applyFont="1" applyFill="1" applyBorder="1" applyAlignment="1" applyProtection="1">
      <alignment horizontal="center" vertical="center"/>
    </xf>
    <xf numFmtId="0" fontId="10" fillId="24" borderId="0" xfId="44" applyFont="1" applyFill="1" applyAlignment="1" applyProtection="1">
      <alignment vertical="center"/>
    </xf>
    <xf numFmtId="0" fontId="14" fillId="24" borderId="10" xfId="0" applyNumberFormat="1" applyFont="1" applyFill="1" applyBorder="1" applyAlignment="1" applyProtection="1">
      <alignment horizontal="center"/>
      <protection hidden="1"/>
    </xf>
    <xf numFmtId="0" fontId="14" fillId="24" borderId="8" xfId="0" applyNumberFormat="1" applyFont="1" applyFill="1" applyBorder="1" applyAlignment="1" applyProtection="1">
      <alignment horizontal="centerContinuous"/>
      <protection hidden="1"/>
    </xf>
    <xf numFmtId="0" fontId="45" fillId="24" borderId="0" xfId="42" applyFont="1" applyFill="1" applyAlignment="1" applyProtection="1">
      <alignment horizontal="centerContinuous"/>
    </xf>
    <xf numFmtId="0" fontId="22" fillId="24" borderId="0" xfId="42" applyFont="1" applyFill="1" applyAlignment="1" applyProtection="1">
      <alignment horizontal="centerContinuous"/>
    </xf>
    <xf numFmtId="0" fontId="2" fillId="24" borderId="0" xfId="42" applyFill="1" applyProtection="1"/>
    <xf numFmtId="0" fontId="22" fillId="24" borderId="0" xfId="42" applyFont="1" applyFill="1" applyProtection="1"/>
    <xf numFmtId="0" fontId="20" fillId="24" borderId="0" xfId="42" applyFont="1" applyFill="1" applyProtection="1"/>
    <xf numFmtId="0" fontId="22" fillId="24" borderId="33" xfId="42" applyFont="1" applyFill="1" applyBorder="1" applyAlignment="1" applyProtection="1">
      <alignment horizontal="centerContinuous"/>
    </xf>
    <xf numFmtId="0" fontId="22" fillId="24" borderId="5" xfId="42" applyFont="1" applyFill="1" applyBorder="1" applyAlignment="1" applyProtection="1">
      <alignment horizontal="centerContinuous"/>
    </xf>
    <xf numFmtId="0" fontId="22" fillId="24" borderId="34" xfId="42" applyFont="1" applyFill="1" applyBorder="1" applyAlignment="1" applyProtection="1">
      <alignment horizontal="centerContinuous"/>
    </xf>
    <xf numFmtId="0" fontId="22" fillId="24" borderId="35" xfId="42" applyFont="1" applyFill="1" applyBorder="1" applyAlignment="1" applyProtection="1">
      <alignment horizontal="centerContinuous"/>
    </xf>
    <xf numFmtId="0" fontId="22" fillId="24" borderId="36" xfId="42" applyFont="1" applyFill="1" applyBorder="1" applyAlignment="1" applyProtection="1">
      <alignment horizontal="centerContinuous"/>
    </xf>
    <xf numFmtId="0" fontId="22" fillId="24" borderId="37" xfId="42" applyFont="1" applyFill="1" applyBorder="1" applyAlignment="1" applyProtection="1">
      <alignment horizontal="centerContinuous"/>
    </xf>
    <xf numFmtId="0" fontId="22" fillId="24" borderId="0" xfId="42" applyFont="1" applyFill="1" applyBorder="1" applyAlignment="1" applyProtection="1">
      <alignment horizontal="centerContinuous"/>
    </xf>
    <xf numFmtId="0" fontId="60" fillId="24" borderId="0" xfId="42" applyFont="1" applyFill="1" applyProtection="1"/>
    <xf numFmtId="0" fontId="60" fillId="24" borderId="0" xfId="47" applyFont="1" applyFill="1" applyProtection="1"/>
    <xf numFmtId="0" fontId="52" fillId="24" borderId="33" xfId="42" applyFont="1" applyFill="1" applyBorder="1" applyAlignment="1" applyProtection="1">
      <alignment horizontal="centerContinuous"/>
    </xf>
    <xf numFmtId="0" fontId="52" fillId="24" borderId="5" xfId="42" applyFont="1" applyFill="1" applyBorder="1" applyAlignment="1" applyProtection="1">
      <alignment horizontal="centerContinuous"/>
    </xf>
    <xf numFmtId="0" fontId="52" fillId="24" borderId="34" xfId="42" applyFont="1" applyFill="1" applyBorder="1" applyAlignment="1" applyProtection="1">
      <alignment horizontal="centerContinuous"/>
    </xf>
    <xf numFmtId="0" fontId="52" fillId="24" borderId="35" xfId="42" applyFont="1" applyFill="1" applyBorder="1" applyAlignment="1" applyProtection="1">
      <alignment horizontal="centerContinuous"/>
    </xf>
    <xf numFmtId="0" fontId="52" fillId="24" borderId="36" xfId="42" applyFont="1" applyFill="1" applyBorder="1" applyAlignment="1" applyProtection="1">
      <alignment horizontal="centerContinuous"/>
    </xf>
    <xf numFmtId="0" fontId="52" fillId="24" borderId="37" xfId="42" applyFont="1" applyFill="1" applyBorder="1" applyAlignment="1" applyProtection="1">
      <alignment horizontal="centerContinuous"/>
    </xf>
    <xf numFmtId="0" fontId="52" fillId="24" borderId="0" xfId="42" applyFont="1" applyFill="1" applyProtection="1"/>
    <xf numFmtId="0" fontId="65" fillId="24" borderId="0" xfId="42" applyFont="1" applyFill="1" applyProtection="1"/>
    <xf numFmtId="0" fontId="86" fillId="24" borderId="0" xfId="42" applyFont="1" applyFill="1" applyProtection="1"/>
    <xf numFmtId="0" fontId="0" fillId="24" borderId="0" xfId="0" applyFill="1"/>
    <xf numFmtId="0" fontId="8" fillId="26" borderId="12" xfId="0" applyFont="1" applyFill="1" applyBorder="1" applyAlignment="1" applyProtection="1">
      <alignment horizontal="centerContinuous"/>
      <protection hidden="1"/>
    </xf>
    <xf numFmtId="0" fontId="19" fillId="26" borderId="13" xfId="0" applyFont="1" applyFill="1" applyBorder="1" applyAlignment="1" applyProtection="1">
      <alignment horizontal="centerContinuous"/>
      <protection hidden="1"/>
    </xf>
    <xf numFmtId="0" fontId="19" fillId="26" borderId="14" xfId="0" applyFont="1" applyFill="1" applyBorder="1" applyAlignment="1" applyProtection="1">
      <alignment horizontal="centerContinuous"/>
      <protection hidden="1"/>
    </xf>
    <xf numFmtId="0" fontId="8" fillId="26" borderId="17" xfId="0" applyFont="1" applyFill="1" applyBorder="1" applyAlignment="1" applyProtection="1">
      <alignment horizontal="centerContinuous"/>
      <protection hidden="1"/>
    </xf>
    <xf numFmtId="0" fontId="7" fillId="26" borderId="18" xfId="0" applyFont="1" applyFill="1" applyBorder="1" applyAlignment="1" applyProtection="1">
      <alignment horizontal="centerContinuous"/>
      <protection hidden="1"/>
    </xf>
    <xf numFmtId="0" fontId="7" fillId="26" borderId="19" xfId="0" applyFont="1" applyFill="1" applyBorder="1" applyAlignment="1" applyProtection="1">
      <alignment horizontal="centerContinuous"/>
      <protection hidden="1"/>
    </xf>
    <xf numFmtId="0" fontId="43" fillId="26" borderId="12" xfId="0" applyFont="1" applyFill="1" applyBorder="1" applyProtection="1">
      <protection hidden="1"/>
    </xf>
    <xf numFmtId="0" fontId="43" fillId="26" borderId="13" xfId="0" applyFont="1" applyFill="1" applyBorder="1" applyProtection="1">
      <protection hidden="1"/>
    </xf>
    <xf numFmtId="0" fontId="43" fillId="26" borderId="14" xfId="0" applyFont="1" applyFill="1" applyBorder="1" applyProtection="1">
      <protection hidden="1"/>
    </xf>
    <xf numFmtId="0" fontId="43" fillId="26" borderId="12" xfId="0" applyFont="1" applyFill="1" applyBorder="1" applyAlignment="1" applyProtection="1">
      <alignment horizontal="centerContinuous"/>
      <protection hidden="1"/>
    </xf>
    <xf numFmtId="0" fontId="43" fillId="26" borderId="14" xfId="0" applyFont="1" applyFill="1" applyBorder="1" applyAlignment="1" applyProtection="1">
      <alignment horizontal="centerContinuous"/>
      <protection hidden="1"/>
    </xf>
    <xf numFmtId="0" fontId="43" fillId="26" borderId="12" xfId="0" applyFont="1" applyFill="1" applyBorder="1" applyAlignment="1" applyProtection="1">
      <protection hidden="1"/>
    </xf>
    <xf numFmtId="0" fontId="43" fillId="26" borderId="14" xfId="0" applyFont="1" applyFill="1" applyBorder="1" applyAlignment="1" applyProtection="1">
      <protection hidden="1"/>
    </xf>
    <xf numFmtId="0" fontId="43" fillId="26" borderId="13" xfId="0" applyFont="1" applyFill="1" applyBorder="1" applyAlignment="1" applyProtection="1">
      <alignment horizontal="centerContinuous"/>
      <protection hidden="1"/>
    </xf>
    <xf numFmtId="0" fontId="43" fillId="26" borderId="15" xfId="0" applyFont="1" applyFill="1" applyBorder="1" applyProtection="1">
      <protection hidden="1"/>
    </xf>
    <xf numFmtId="0" fontId="43" fillId="26" borderId="0" xfId="0" applyFont="1" applyFill="1" applyBorder="1" applyProtection="1">
      <protection hidden="1"/>
    </xf>
    <xf numFmtId="0" fontId="43" fillId="26" borderId="16" xfId="0" applyFont="1" applyFill="1" applyBorder="1" applyProtection="1">
      <protection hidden="1"/>
    </xf>
    <xf numFmtId="0" fontId="43" fillId="26" borderId="15" xfId="0" applyFont="1" applyFill="1" applyBorder="1" applyAlignment="1" applyProtection="1">
      <alignment horizontal="centerContinuous"/>
      <protection hidden="1"/>
    </xf>
    <xf numFmtId="0" fontId="43" fillId="26" borderId="16" xfId="0" applyFont="1" applyFill="1" applyBorder="1" applyAlignment="1" applyProtection="1">
      <alignment horizontal="centerContinuous"/>
      <protection hidden="1"/>
    </xf>
    <xf numFmtId="0" fontId="43" fillId="26" borderId="0" xfId="0" applyFont="1" applyFill="1" applyBorder="1" applyAlignment="1" applyProtection="1">
      <alignment horizontal="centerContinuous"/>
      <protection hidden="1"/>
    </xf>
    <xf numFmtId="0" fontId="43" fillId="26" borderId="17" xfId="0" applyFont="1" applyFill="1" applyBorder="1" applyAlignment="1" applyProtection="1">
      <alignment horizontal="centerContinuous"/>
      <protection hidden="1"/>
    </xf>
    <xf numFmtId="0" fontId="43" fillId="26" borderId="18" xfId="0" applyFont="1" applyFill="1" applyBorder="1" applyAlignment="1" applyProtection="1">
      <alignment horizontal="centerContinuous"/>
      <protection hidden="1"/>
    </xf>
    <xf numFmtId="0" fontId="43" fillId="26" borderId="19" xfId="0" applyFont="1" applyFill="1" applyBorder="1" applyAlignment="1" applyProtection="1">
      <alignment horizontal="centerContinuous"/>
      <protection hidden="1"/>
    </xf>
    <xf numFmtId="0" fontId="43" fillId="26" borderId="10" xfId="0" applyFont="1" applyFill="1" applyBorder="1" applyAlignment="1" applyProtection="1">
      <alignment horizontal="center"/>
      <protection hidden="1"/>
    </xf>
    <xf numFmtId="0" fontId="14" fillId="24" borderId="0" xfId="44" applyFont="1" applyFill="1" applyAlignment="1" applyProtection="1">
      <alignment horizontal="centerContinuous" vertical="center"/>
      <protection hidden="1"/>
    </xf>
    <xf numFmtId="0" fontId="43" fillId="26" borderId="22" xfId="0" applyFont="1" applyFill="1" applyBorder="1" applyProtection="1">
      <protection hidden="1"/>
    </xf>
    <xf numFmtId="0" fontId="37" fillId="26" borderId="23" xfId="0" applyFont="1" applyFill="1" applyBorder="1" applyProtection="1">
      <protection hidden="1"/>
    </xf>
    <xf numFmtId="0" fontId="37" fillId="26" borderId="24" xfId="0" applyFont="1" applyFill="1" applyBorder="1" applyProtection="1">
      <protection hidden="1"/>
    </xf>
    <xf numFmtId="0" fontId="53" fillId="24" borderId="9" xfId="0" applyFont="1" applyFill="1" applyBorder="1" applyAlignment="1" applyProtection="1">
      <alignment horizontal="center"/>
      <protection hidden="1"/>
    </xf>
    <xf numFmtId="0" fontId="53" fillId="24" borderId="8" xfId="0" applyFont="1" applyFill="1" applyBorder="1" applyAlignment="1" applyProtection="1">
      <alignment horizontal="center"/>
      <protection hidden="1"/>
    </xf>
    <xf numFmtId="0" fontId="54" fillId="24" borderId="8" xfId="0" applyFont="1" applyFill="1" applyBorder="1" applyAlignment="1" applyProtection="1">
      <alignment horizontal="center"/>
      <protection hidden="1"/>
    </xf>
    <xf numFmtId="0" fontId="9" fillId="24" borderId="8" xfId="0" applyFont="1" applyFill="1" applyBorder="1" applyAlignment="1" applyProtection="1">
      <alignment horizontal="center"/>
      <protection hidden="1"/>
    </xf>
    <xf numFmtId="0" fontId="53" fillId="24" borderId="26" xfId="0" applyFont="1" applyFill="1" applyBorder="1" applyAlignment="1" applyProtection="1">
      <alignment horizontal="center"/>
      <protection hidden="1"/>
    </xf>
    <xf numFmtId="0" fontId="54" fillId="24" borderId="26" xfId="0" applyFont="1" applyFill="1" applyBorder="1" applyAlignment="1" applyProtection="1">
      <alignment horizontal="center"/>
      <protection hidden="1"/>
    </xf>
    <xf numFmtId="0" fontId="53" fillId="24" borderId="25" xfId="0" applyFont="1" applyFill="1" applyBorder="1" applyAlignment="1" applyProtection="1">
      <alignment horizontal="center"/>
      <protection hidden="1"/>
    </xf>
    <xf numFmtId="0" fontId="54" fillId="24" borderId="25" xfId="0" applyFont="1" applyFill="1" applyBorder="1" applyAlignment="1" applyProtection="1">
      <alignment horizontal="center"/>
      <protection hidden="1"/>
    </xf>
    <xf numFmtId="0" fontId="9" fillId="24" borderId="26" xfId="0" applyFont="1" applyFill="1" applyBorder="1" applyAlignment="1" applyProtection="1">
      <alignment horizontal="center"/>
      <protection hidden="1"/>
    </xf>
    <xf numFmtId="0" fontId="9" fillId="24" borderId="25" xfId="0" applyFont="1" applyFill="1" applyBorder="1" applyAlignment="1" applyProtection="1">
      <alignment horizontal="center"/>
      <protection hidden="1"/>
    </xf>
    <xf numFmtId="0" fontId="55" fillId="26" borderId="22" xfId="0" applyFont="1" applyFill="1" applyBorder="1" applyProtection="1">
      <protection hidden="1"/>
    </xf>
    <xf numFmtId="0" fontId="18" fillId="26" borderId="23" xfId="0" applyFont="1" applyFill="1" applyBorder="1" applyProtection="1">
      <protection hidden="1"/>
    </xf>
    <xf numFmtId="0" fontId="37" fillId="26" borderId="13" xfId="0" applyFont="1" applyFill="1" applyBorder="1" applyProtection="1">
      <protection hidden="1"/>
    </xf>
    <xf numFmtId="0" fontId="53" fillId="24" borderId="14" xfId="0" applyFont="1" applyFill="1" applyBorder="1" applyAlignment="1" applyProtection="1">
      <alignment horizontal="center"/>
      <protection hidden="1"/>
    </xf>
    <xf numFmtId="0" fontId="53" fillId="24" borderId="20" xfId="0" applyFont="1" applyFill="1" applyBorder="1" applyAlignment="1" applyProtection="1">
      <alignment horizontal="center"/>
      <protection hidden="1"/>
    </xf>
    <xf numFmtId="0" fontId="9" fillId="24" borderId="20" xfId="0" applyFont="1" applyFill="1" applyBorder="1" applyAlignment="1" applyProtection="1">
      <alignment horizontal="center"/>
      <protection hidden="1"/>
    </xf>
    <xf numFmtId="0" fontId="53" fillId="24" borderId="48" xfId="0" applyFont="1" applyFill="1" applyBorder="1" applyAlignment="1" applyProtection="1">
      <alignment horizontal="center"/>
      <protection hidden="1"/>
    </xf>
    <xf numFmtId="0" fontId="53" fillId="24" borderId="44" xfId="0" applyFont="1" applyFill="1" applyBorder="1" applyAlignment="1" applyProtection="1">
      <alignment horizontal="center"/>
      <protection hidden="1"/>
    </xf>
    <xf numFmtId="0" fontId="53" fillId="24" borderId="45" xfId="0" applyFont="1" applyFill="1" applyBorder="1" applyAlignment="1" applyProtection="1">
      <alignment horizontal="center"/>
      <protection hidden="1"/>
    </xf>
    <xf numFmtId="0" fontId="55" fillId="26" borderId="22" xfId="0" quotePrefix="1" applyFont="1" applyFill="1" applyBorder="1" applyProtection="1">
      <protection hidden="1"/>
    </xf>
    <xf numFmtId="0" fontId="54" fillId="24" borderId="9" xfId="0" applyFont="1" applyFill="1" applyBorder="1" applyAlignment="1" applyProtection="1">
      <alignment horizontal="center"/>
      <protection hidden="1"/>
    </xf>
    <xf numFmtId="0" fontId="9" fillId="24" borderId="21" xfId="0" applyFont="1" applyFill="1" applyBorder="1" applyAlignment="1" applyProtection="1">
      <alignment horizontal="center"/>
      <protection hidden="1"/>
    </xf>
    <xf numFmtId="0" fontId="53" fillId="24" borderId="10" xfId="0" applyFont="1" applyFill="1" applyBorder="1" applyAlignment="1" applyProtection="1">
      <alignment horizontal="center"/>
      <protection hidden="1"/>
    </xf>
    <xf numFmtId="0" fontId="54" fillId="24" borderId="10" xfId="0" applyFont="1" applyFill="1" applyBorder="1" applyAlignment="1" applyProtection="1">
      <alignment horizontal="center"/>
      <protection hidden="1"/>
    </xf>
    <xf numFmtId="0" fontId="56" fillId="24" borderId="0" xfId="0" applyFont="1" applyFill="1" applyProtection="1">
      <protection hidden="1"/>
    </xf>
    <xf numFmtId="0" fontId="0" fillId="0" borderId="0" xfId="0" applyAlignment="1"/>
    <xf numFmtId="0" fontId="53" fillId="24" borderId="53" xfId="0" applyFont="1" applyFill="1" applyBorder="1" applyAlignment="1" applyProtection="1">
      <alignment horizontal="center"/>
      <protection hidden="1"/>
    </xf>
    <xf numFmtId="0" fontId="14" fillId="24" borderId="53" xfId="0" applyFont="1" applyFill="1" applyBorder="1" applyAlignment="1" applyProtection="1">
      <alignment horizontal="center"/>
      <protection hidden="1"/>
    </xf>
    <xf numFmtId="0" fontId="53" fillId="24" borderId="54" xfId="0" applyFont="1" applyFill="1" applyBorder="1" applyAlignment="1" applyProtection="1">
      <alignment horizontal="center"/>
      <protection hidden="1"/>
    </xf>
    <xf numFmtId="0" fontId="54" fillId="24" borderId="54" xfId="0" applyFont="1" applyFill="1" applyBorder="1" applyAlignment="1" applyProtection="1">
      <alignment horizontal="center"/>
      <protection hidden="1"/>
    </xf>
    <xf numFmtId="0" fontId="14" fillId="24" borderId="54" xfId="0" applyFont="1" applyFill="1" applyBorder="1" applyAlignment="1" applyProtection="1">
      <alignment horizontal="center"/>
      <protection hidden="1"/>
    </xf>
    <xf numFmtId="0" fontId="10" fillId="24" borderId="54" xfId="44" applyFont="1" applyFill="1" applyBorder="1" applyAlignment="1" applyProtection="1">
      <alignment horizontal="center" vertical="center"/>
      <protection hidden="1"/>
    </xf>
    <xf numFmtId="0" fontId="53" fillId="24" borderId="55" xfId="0" applyFont="1" applyFill="1" applyBorder="1" applyAlignment="1" applyProtection="1">
      <alignment horizontal="center"/>
      <protection hidden="1"/>
    </xf>
    <xf numFmtId="0" fontId="10" fillId="24" borderId="55" xfId="44" applyFont="1" applyFill="1" applyBorder="1" applyAlignment="1" applyProtection="1">
      <alignment horizontal="center" vertical="center"/>
      <protection hidden="1"/>
    </xf>
    <xf numFmtId="0" fontId="53" fillId="24" borderId="56" xfId="0" applyFont="1" applyFill="1" applyBorder="1" applyAlignment="1" applyProtection="1">
      <alignment horizontal="center"/>
      <protection hidden="1"/>
    </xf>
    <xf numFmtId="0" fontId="9" fillId="24" borderId="56" xfId="0" applyFont="1" applyFill="1" applyBorder="1" applyAlignment="1" applyProtection="1">
      <alignment horizontal="center"/>
      <protection hidden="1"/>
    </xf>
    <xf numFmtId="0" fontId="9" fillId="24" borderId="54" xfId="0" applyFont="1" applyFill="1" applyBorder="1" applyAlignment="1" applyProtection="1">
      <alignment horizontal="center"/>
      <protection hidden="1"/>
    </xf>
    <xf numFmtId="0" fontId="53" fillId="24" borderId="57" xfId="0" applyFont="1" applyFill="1" applyBorder="1" applyAlignment="1" applyProtection="1">
      <alignment horizontal="center"/>
      <protection hidden="1"/>
    </xf>
    <xf numFmtId="0" fontId="54" fillId="24" borderId="57" xfId="0" applyFont="1" applyFill="1" applyBorder="1" applyAlignment="1" applyProtection="1">
      <alignment horizontal="center"/>
      <protection hidden="1"/>
    </xf>
    <xf numFmtId="0" fontId="54" fillId="24" borderId="56" xfId="0" applyFont="1" applyFill="1" applyBorder="1" applyAlignment="1" applyProtection="1">
      <alignment horizontal="center"/>
      <protection hidden="1"/>
    </xf>
    <xf numFmtId="0" fontId="9" fillId="24" borderId="57" xfId="0" applyFont="1" applyFill="1" applyBorder="1" applyAlignment="1" applyProtection="1">
      <alignment horizontal="center"/>
      <protection hidden="1"/>
    </xf>
    <xf numFmtId="0" fontId="19" fillId="26" borderId="13" xfId="44" applyFont="1" applyFill="1" applyBorder="1" applyAlignment="1" applyProtection="1">
      <alignment horizontal="centerContinuous" vertical="center"/>
      <protection hidden="1"/>
    </xf>
    <xf numFmtId="0" fontId="19" fillId="26" borderId="14" xfId="44" applyFont="1" applyFill="1" applyBorder="1" applyAlignment="1" applyProtection="1">
      <alignment horizontal="centerContinuous" vertical="center"/>
      <protection hidden="1"/>
    </xf>
    <xf numFmtId="0" fontId="14" fillId="26" borderId="14" xfId="44" applyFont="1" applyFill="1" applyBorder="1" applyAlignment="1" applyProtection="1">
      <alignment horizontal="centerContinuous" vertical="center"/>
      <protection hidden="1"/>
    </xf>
    <xf numFmtId="0" fontId="19" fillId="26" borderId="18" xfId="0" applyFont="1" applyFill="1" applyBorder="1" applyAlignment="1" applyProtection="1">
      <alignment horizontal="centerContinuous"/>
      <protection hidden="1"/>
    </xf>
    <xf numFmtId="0" fontId="14" fillId="26" borderId="19" xfId="44" applyFont="1" applyFill="1" applyBorder="1" applyAlignment="1" applyProtection="1">
      <alignment horizontal="centerContinuous" vertical="center"/>
      <protection hidden="1"/>
    </xf>
    <xf numFmtId="0" fontId="37" fillId="26" borderId="20" xfId="0" applyFont="1" applyFill="1" applyBorder="1" applyProtection="1">
      <protection hidden="1"/>
    </xf>
    <xf numFmtId="0" fontId="37" fillId="26" borderId="12" xfId="0" applyFont="1" applyFill="1" applyBorder="1" applyProtection="1">
      <protection hidden="1"/>
    </xf>
    <xf numFmtId="0" fontId="43" fillId="26" borderId="22" xfId="0" applyFont="1" applyFill="1" applyBorder="1" applyAlignment="1" applyProtection="1">
      <alignment horizontal="centerContinuous"/>
      <protection hidden="1"/>
    </xf>
    <xf numFmtId="0" fontId="37" fillId="26" borderId="23" xfId="0" applyFont="1" applyFill="1" applyBorder="1" applyAlignment="1" applyProtection="1">
      <alignment horizontal="centerContinuous"/>
      <protection hidden="1"/>
    </xf>
    <xf numFmtId="0" fontId="14" fillId="26" borderId="24" xfId="44" applyFont="1" applyFill="1" applyBorder="1" applyAlignment="1" applyProtection="1">
      <alignment horizontal="centerContinuous" vertical="center"/>
      <protection hidden="1"/>
    </xf>
    <xf numFmtId="0" fontId="19" fillId="24" borderId="11" xfId="43" applyFont="1" applyFill="1" applyBorder="1" applyAlignment="1" applyProtection="1">
      <alignment horizontal="center" vertical="center"/>
      <protection hidden="1"/>
    </xf>
    <xf numFmtId="0" fontId="43" fillId="26" borderId="27" xfId="0" applyFont="1" applyFill="1" applyBorder="1" applyAlignment="1" applyProtection="1">
      <alignment horizontal="center"/>
      <protection hidden="1"/>
    </xf>
    <xf numFmtId="0" fontId="87" fillId="26" borderId="27" xfId="0" applyFont="1" applyFill="1" applyBorder="1" applyAlignment="1" applyProtection="1">
      <alignment horizontal="center"/>
      <protection hidden="1"/>
    </xf>
    <xf numFmtId="0" fontId="43" fillId="26" borderId="15" xfId="0" applyFont="1" applyFill="1" applyBorder="1" applyAlignment="1" applyProtection="1">
      <alignment horizontal="center"/>
      <protection hidden="1"/>
    </xf>
    <xf numFmtId="0" fontId="37" fillId="26" borderId="18" xfId="0" applyFont="1" applyFill="1" applyBorder="1" applyAlignment="1" applyProtection="1">
      <alignment horizontal="centerContinuous"/>
      <protection hidden="1"/>
    </xf>
    <xf numFmtId="49" fontId="14" fillId="24" borderId="22" xfId="43" applyNumberFormat="1" applyFont="1" applyFill="1" applyBorder="1" applyAlignment="1" applyProtection="1">
      <alignment horizontal="left" vertical="center"/>
      <protection locked="0"/>
    </xf>
    <xf numFmtId="0" fontId="43" fillId="26" borderId="11" xfId="0" applyFont="1" applyFill="1" applyBorder="1" applyAlignment="1" applyProtection="1">
      <alignment horizontal="center"/>
      <protection hidden="1"/>
    </xf>
    <xf numFmtId="0" fontId="87" fillId="26" borderId="11" xfId="0" applyFont="1" applyFill="1" applyBorder="1" applyAlignment="1" applyProtection="1">
      <alignment horizontal="center"/>
      <protection hidden="1"/>
    </xf>
    <xf numFmtId="0" fontId="9" fillId="24" borderId="59" xfId="0" applyFont="1" applyFill="1" applyBorder="1" applyAlignment="1" applyProtection="1">
      <alignment horizontal="center"/>
      <protection hidden="1"/>
    </xf>
    <xf numFmtId="0" fontId="53" fillId="24" borderId="59" xfId="0" applyFont="1" applyFill="1" applyBorder="1" applyAlignment="1" applyProtection="1">
      <alignment horizontal="center"/>
      <protection hidden="1"/>
    </xf>
    <xf numFmtId="0" fontId="90" fillId="0" borderId="61" xfId="0" applyFont="1" applyBorder="1" applyAlignment="1" applyProtection="1">
      <alignment horizontal="center" vertical="center"/>
      <protection hidden="1"/>
    </xf>
    <xf numFmtId="0" fontId="92" fillId="0" borderId="61" xfId="0" applyFont="1" applyBorder="1" applyAlignment="1" applyProtection="1">
      <alignment horizontal="center" vertical="center"/>
      <protection hidden="1"/>
    </xf>
    <xf numFmtId="0" fontId="14" fillId="24" borderId="16" xfId="44" applyFont="1" applyFill="1" applyBorder="1" applyAlignment="1" applyProtection="1">
      <alignment horizontal="left" vertical="center"/>
      <protection hidden="1"/>
    </xf>
    <xf numFmtId="0" fontId="9" fillId="24" borderId="61" xfId="0" applyFont="1" applyFill="1" applyBorder="1" applyAlignment="1" applyProtection="1">
      <alignment horizontal="center"/>
      <protection hidden="1"/>
    </xf>
    <xf numFmtId="0" fontId="53" fillId="24" borderId="61" xfId="0" applyFont="1" applyFill="1" applyBorder="1" applyAlignment="1" applyProtection="1">
      <alignment horizontal="center"/>
      <protection hidden="1"/>
    </xf>
    <xf numFmtId="0" fontId="93" fillId="0" borderId="61" xfId="0" applyFont="1" applyBorder="1" applyAlignment="1" applyProtection="1">
      <alignment horizontal="center" vertical="center"/>
      <protection hidden="1"/>
    </xf>
    <xf numFmtId="0" fontId="15" fillId="24" borderId="15" xfId="44" applyFont="1" applyFill="1" applyBorder="1" applyAlignment="1" applyProtection="1">
      <alignment horizontal="left" vertical="center"/>
      <protection hidden="1"/>
    </xf>
    <xf numFmtId="0" fontId="9" fillId="24" borderId="63" xfId="0" applyFont="1" applyFill="1" applyBorder="1" applyAlignment="1" applyProtection="1">
      <alignment horizontal="center" vertical="center"/>
      <protection hidden="1"/>
    </xf>
    <xf numFmtId="0" fontId="53" fillId="24" borderId="63" xfId="0" applyFont="1" applyFill="1" applyBorder="1" applyAlignment="1" applyProtection="1">
      <alignment horizontal="center"/>
      <protection hidden="1"/>
    </xf>
    <xf numFmtId="0" fontId="15" fillId="24" borderId="15" xfId="44" applyFont="1" applyFill="1" applyBorder="1" applyAlignment="1" applyProtection="1">
      <alignment horizontal="right" vertical="center"/>
      <protection hidden="1"/>
    </xf>
    <xf numFmtId="0" fontId="9" fillId="24" borderId="10" xfId="44" applyFont="1" applyFill="1" applyBorder="1" applyAlignment="1" applyProtection="1">
      <alignment horizontal="center" vertical="center"/>
      <protection hidden="1"/>
    </xf>
    <xf numFmtId="0" fontId="53" fillId="24" borderId="10" xfId="44" applyFont="1" applyFill="1" applyBorder="1" applyAlignment="1" applyProtection="1">
      <alignment horizontal="center" vertical="center"/>
      <protection hidden="1"/>
    </xf>
    <xf numFmtId="0" fontId="15" fillId="0" borderId="15" xfId="44" applyFont="1" applyFill="1" applyBorder="1" applyAlignment="1" applyProtection="1">
      <alignment vertical="center"/>
      <protection hidden="1"/>
    </xf>
    <xf numFmtId="0" fontId="9" fillId="24" borderId="9" xfId="44" applyFont="1" applyFill="1" applyBorder="1" applyAlignment="1" applyProtection="1">
      <alignment horizontal="center" vertical="center"/>
      <protection hidden="1"/>
    </xf>
    <xf numFmtId="0" fontId="53" fillId="24" borderId="9" xfId="44" applyFont="1" applyFill="1" applyBorder="1" applyAlignment="1" applyProtection="1">
      <alignment horizontal="center" vertical="center"/>
      <protection hidden="1"/>
    </xf>
    <xf numFmtId="0" fontId="9" fillId="24" borderId="8" xfId="44" applyFont="1" applyFill="1" applyBorder="1" applyAlignment="1" applyProtection="1">
      <alignment horizontal="center" vertical="center"/>
      <protection hidden="1"/>
    </xf>
    <xf numFmtId="0" fontId="53" fillId="24" borderId="8" xfId="44" applyFont="1" applyFill="1" applyBorder="1" applyAlignment="1" applyProtection="1">
      <alignment horizontal="center" vertical="center"/>
      <protection hidden="1"/>
    </xf>
    <xf numFmtId="0" fontId="54" fillId="24" borderId="8" xfId="44" applyFont="1" applyFill="1" applyBorder="1" applyAlignment="1" applyProtection="1">
      <alignment horizontal="center" vertical="center"/>
      <protection hidden="1"/>
    </xf>
    <xf numFmtId="0" fontId="27" fillId="0" borderId="15" xfId="44" applyFont="1" applyFill="1" applyBorder="1" applyAlignment="1" applyProtection="1">
      <alignment vertical="center"/>
      <protection hidden="1"/>
    </xf>
    <xf numFmtId="0" fontId="9" fillId="24" borderId="65" xfId="44" applyFont="1" applyFill="1" applyBorder="1" applyAlignment="1" applyProtection="1">
      <alignment horizontal="center" vertical="center"/>
      <protection hidden="1"/>
    </xf>
    <xf numFmtId="0" fontId="53" fillId="24" borderId="65" xfId="44" applyFont="1" applyFill="1" applyBorder="1" applyAlignment="1" applyProtection="1">
      <alignment horizontal="center" vertical="center"/>
      <protection hidden="1"/>
    </xf>
    <xf numFmtId="0" fontId="9" fillId="24" borderId="14" xfId="0" applyFont="1" applyFill="1" applyBorder="1" applyAlignment="1" applyProtection="1">
      <alignment vertical="top" wrapText="1"/>
      <protection hidden="1"/>
    </xf>
    <xf numFmtId="0" fontId="9" fillId="24" borderId="66" xfId="44" applyFont="1" applyFill="1" applyBorder="1" applyAlignment="1" applyProtection="1">
      <alignment horizontal="center" vertical="center"/>
      <protection hidden="1"/>
    </xf>
    <xf numFmtId="0" fontId="53" fillId="24" borderId="66" xfId="44" applyFont="1" applyFill="1" applyBorder="1" applyAlignment="1" applyProtection="1">
      <alignment horizontal="center" vertical="center"/>
      <protection hidden="1"/>
    </xf>
    <xf numFmtId="0" fontId="19" fillId="24" borderId="0" xfId="53" applyFont="1" applyFill="1" applyBorder="1" applyAlignment="1" applyProtection="1">
      <alignment horizontal="right" vertical="center"/>
      <protection hidden="1"/>
    </xf>
    <xf numFmtId="0" fontId="14" fillId="25" borderId="8" xfId="53" applyFont="1" applyFill="1" applyBorder="1" applyAlignment="1" applyProtection="1">
      <alignment horizontal="center" vertical="center"/>
      <protection locked="0"/>
    </xf>
    <xf numFmtId="0" fontId="0" fillId="0" borderId="19" xfId="0" applyBorder="1" applyAlignment="1" applyProtection="1">
      <alignment vertical="top" wrapText="1"/>
      <protection hidden="1"/>
    </xf>
    <xf numFmtId="0" fontId="53" fillId="24" borderId="45" xfId="44" applyFont="1" applyFill="1" applyBorder="1" applyAlignment="1" applyProtection="1">
      <alignment horizontal="center" vertical="center"/>
      <protection hidden="1"/>
    </xf>
    <xf numFmtId="0" fontId="19" fillId="24" borderId="16" xfId="44" applyFont="1" applyFill="1" applyBorder="1" applyAlignment="1" applyProtection="1">
      <alignment vertical="center"/>
      <protection hidden="1"/>
    </xf>
    <xf numFmtId="0" fontId="54" fillId="24" borderId="45" xfId="44" applyFont="1" applyFill="1" applyBorder="1" applyAlignment="1" applyProtection="1">
      <alignment horizontal="center" vertical="center"/>
      <protection hidden="1"/>
    </xf>
    <xf numFmtId="0" fontId="9" fillId="24" borderId="45" xfId="44" applyFont="1" applyFill="1" applyBorder="1" applyAlignment="1" applyProtection="1">
      <alignment horizontal="center" vertical="center"/>
      <protection hidden="1"/>
    </xf>
    <xf numFmtId="0" fontId="54" fillId="24" borderId="45" xfId="0" applyFont="1" applyFill="1" applyBorder="1" applyAlignment="1" applyProtection="1">
      <alignment horizontal="center"/>
      <protection hidden="1"/>
    </xf>
    <xf numFmtId="0" fontId="15" fillId="24" borderId="0" xfId="53" applyFont="1" applyFill="1" applyBorder="1" applyAlignment="1" applyProtection="1">
      <alignment horizontal="right" vertical="center"/>
      <protection hidden="1"/>
    </xf>
    <xf numFmtId="0" fontId="9" fillId="24" borderId="45" xfId="0" applyFont="1" applyFill="1" applyBorder="1" applyAlignment="1" applyProtection="1">
      <alignment horizontal="center"/>
      <protection hidden="1"/>
    </xf>
    <xf numFmtId="0" fontId="14" fillId="24" borderId="23" xfId="44" applyFont="1" applyFill="1" applyBorder="1" applyAlignment="1" applyProtection="1">
      <alignment horizontal="centerContinuous" vertical="center"/>
      <protection hidden="1"/>
    </xf>
    <xf numFmtId="0" fontId="9" fillId="24" borderId="65" xfId="0" applyFont="1" applyFill="1" applyBorder="1" applyAlignment="1" applyProtection="1">
      <alignment horizontal="center"/>
      <protection hidden="1"/>
    </xf>
    <xf numFmtId="0" fontId="53" fillId="24" borderId="65" xfId="0" applyFont="1" applyFill="1" applyBorder="1" applyAlignment="1" applyProtection="1">
      <alignment horizontal="center"/>
      <protection hidden="1"/>
    </xf>
    <xf numFmtId="0" fontId="54" fillId="24" borderId="65" xfId="0" applyFont="1" applyFill="1" applyBorder="1" applyAlignment="1" applyProtection="1">
      <alignment horizontal="center"/>
      <protection hidden="1"/>
    </xf>
    <xf numFmtId="0" fontId="14" fillId="24" borderId="20" xfId="44" applyFont="1" applyFill="1" applyBorder="1" applyAlignment="1" applyProtection="1">
      <alignment vertical="center"/>
      <protection hidden="1"/>
    </xf>
    <xf numFmtId="0" fontId="54" fillId="24" borderId="61" xfId="0" applyFont="1" applyFill="1" applyBorder="1" applyAlignment="1" applyProtection="1">
      <alignment horizontal="center"/>
      <protection hidden="1"/>
    </xf>
    <xf numFmtId="0" fontId="9" fillId="24" borderId="61" xfId="44" applyFont="1" applyFill="1" applyBorder="1" applyAlignment="1" applyProtection="1">
      <alignment horizontal="center" vertical="center"/>
      <protection hidden="1"/>
    </xf>
    <xf numFmtId="0" fontId="53" fillId="24" borderId="61" xfId="44" applyFont="1" applyFill="1" applyBorder="1" applyAlignment="1" applyProtection="1">
      <alignment horizontal="center" vertical="center"/>
      <protection hidden="1"/>
    </xf>
    <xf numFmtId="0" fontId="19" fillId="24" borderId="15" xfId="44" applyFont="1" applyFill="1" applyBorder="1" applyAlignment="1" applyProtection="1">
      <alignment vertical="center"/>
      <protection hidden="1"/>
    </xf>
    <xf numFmtId="0" fontId="14" fillId="24" borderId="16" xfId="44" applyFont="1" applyFill="1" applyBorder="1" applyAlignment="1" applyProtection="1">
      <alignment vertical="center"/>
      <protection hidden="1"/>
    </xf>
    <xf numFmtId="0" fontId="93" fillId="0" borderId="63" xfId="0" applyFont="1" applyBorder="1" applyAlignment="1" applyProtection="1">
      <alignment horizontal="center" vertical="center"/>
      <protection hidden="1"/>
    </xf>
    <xf numFmtId="0" fontId="98" fillId="0" borderId="63" xfId="0" applyFont="1" applyBorder="1" applyAlignment="1" applyProtection="1">
      <alignment horizontal="center" vertical="center"/>
      <protection hidden="1"/>
    </xf>
    <xf numFmtId="0" fontId="9" fillId="24" borderId="59" xfId="44" applyFont="1" applyFill="1" applyBorder="1" applyAlignment="1" applyProtection="1">
      <alignment horizontal="center" vertical="center"/>
      <protection hidden="1"/>
    </xf>
    <xf numFmtId="0" fontId="53" fillId="24" borderId="59" xfId="44" applyFont="1" applyFill="1" applyBorder="1" applyAlignment="1" applyProtection="1">
      <alignment horizontal="center" vertical="center"/>
      <protection hidden="1"/>
    </xf>
    <xf numFmtId="0" fontId="9" fillId="24" borderId="61" xfId="0" applyFont="1" applyFill="1" applyBorder="1" applyAlignment="1" applyProtection="1">
      <alignment horizontal="center" vertical="center"/>
      <protection hidden="1"/>
    </xf>
    <xf numFmtId="0" fontId="53" fillId="24" borderId="61" xfId="0" applyFont="1" applyFill="1" applyBorder="1" applyAlignment="1" applyProtection="1">
      <alignment horizontal="center" vertical="center"/>
      <protection hidden="1"/>
    </xf>
    <xf numFmtId="164" fontId="15" fillId="24" borderId="0" xfId="44" applyNumberFormat="1" applyFont="1" applyFill="1" applyBorder="1" applyAlignment="1" applyProtection="1">
      <alignment horizontal="center" vertical="center"/>
      <protection hidden="1"/>
    </xf>
    <xf numFmtId="0" fontId="9" fillId="24" borderId="63" xfId="44" applyFont="1" applyFill="1" applyBorder="1" applyAlignment="1" applyProtection="1">
      <alignment horizontal="center" vertical="center"/>
      <protection hidden="1"/>
    </xf>
    <xf numFmtId="0" fontId="53" fillId="24" borderId="63" xfId="44" applyFont="1" applyFill="1" applyBorder="1" applyAlignment="1" applyProtection="1">
      <alignment horizontal="center" vertical="center"/>
      <protection hidden="1"/>
    </xf>
    <xf numFmtId="0" fontId="9" fillId="24" borderId="10" xfId="0" applyFont="1" applyFill="1" applyBorder="1" applyAlignment="1" applyProtection="1">
      <alignment horizontal="center"/>
      <protection hidden="1"/>
    </xf>
    <xf numFmtId="0" fontId="9" fillId="24" borderId="10" xfId="0" applyFont="1" applyFill="1" applyBorder="1" applyAlignment="1" applyProtection="1">
      <alignment horizontal="center" vertical="center"/>
      <protection hidden="1"/>
    </xf>
    <xf numFmtId="0" fontId="9" fillId="24" borderId="20" xfId="0" applyFont="1" applyFill="1" applyBorder="1" applyAlignment="1" applyProtection="1">
      <alignment horizontal="center" vertical="center"/>
      <protection hidden="1"/>
    </xf>
    <xf numFmtId="0" fontId="53" fillId="24" borderId="20" xfId="0" applyFont="1" applyFill="1" applyBorder="1" applyAlignment="1" applyProtection="1">
      <alignment horizontal="center" vertical="center"/>
      <protection hidden="1"/>
    </xf>
    <xf numFmtId="164" fontId="14" fillId="24" borderId="0" xfId="44" applyNumberFormat="1" applyFont="1" applyFill="1" applyBorder="1" applyAlignment="1" applyProtection="1">
      <alignment vertical="center"/>
      <protection hidden="1"/>
    </xf>
    <xf numFmtId="0" fontId="9" fillId="24" borderId="21" xfId="44" applyFont="1" applyFill="1" applyBorder="1" applyAlignment="1" applyProtection="1">
      <alignment horizontal="center" vertical="center"/>
      <protection hidden="1"/>
    </xf>
    <xf numFmtId="0" fontId="9" fillId="24" borderId="63" xfId="0" applyFont="1" applyFill="1" applyBorder="1" applyAlignment="1" applyProtection="1">
      <alignment horizontal="center"/>
      <protection hidden="1"/>
    </xf>
    <xf numFmtId="0" fontId="53" fillId="24" borderId="21" xfId="0" applyFont="1" applyFill="1" applyBorder="1" applyAlignment="1" applyProtection="1">
      <alignment horizontal="center"/>
      <protection hidden="1"/>
    </xf>
    <xf numFmtId="0" fontId="9" fillId="24" borderId="24" xfId="0" applyFont="1" applyFill="1" applyBorder="1" applyAlignment="1" applyProtection="1">
      <alignment horizontal="center"/>
      <protection hidden="1"/>
    </xf>
    <xf numFmtId="0" fontId="9" fillId="24" borderId="11" xfId="0" applyFont="1" applyFill="1" applyBorder="1" applyAlignment="1" applyProtection="1">
      <alignment horizontal="center"/>
      <protection hidden="1"/>
    </xf>
    <xf numFmtId="0" fontId="53" fillId="24" borderId="11" xfId="0" applyFont="1" applyFill="1" applyBorder="1" applyAlignment="1" applyProtection="1">
      <alignment horizontal="center"/>
      <protection hidden="1"/>
    </xf>
    <xf numFmtId="0" fontId="89" fillId="24" borderId="0" xfId="0" applyFont="1" applyFill="1" applyProtection="1">
      <protection hidden="1"/>
    </xf>
    <xf numFmtId="0" fontId="18" fillId="24" borderId="0" xfId="44" applyFont="1" applyFill="1" applyAlignment="1" applyProtection="1">
      <alignment vertical="center"/>
      <protection hidden="1"/>
    </xf>
    <xf numFmtId="0" fontId="9" fillId="24" borderId="0" xfId="44" applyFont="1" applyFill="1" applyBorder="1" applyAlignment="1" applyProtection="1">
      <alignment horizontal="center" vertical="center"/>
      <protection hidden="1"/>
    </xf>
    <xf numFmtId="0" fontId="14" fillId="24" borderId="0" xfId="0" quotePrefix="1" applyFont="1" applyFill="1" applyBorder="1" applyProtection="1">
      <protection hidden="1"/>
    </xf>
    <xf numFmtId="2" fontId="19" fillId="24" borderId="0" xfId="44" applyNumberFormat="1" applyFont="1" applyFill="1" applyBorder="1" applyAlignment="1" applyProtection="1">
      <alignment horizontal="center" vertical="center"/>
      <protection hidden="1"/>
    </xf>
    <xf numFmtId="0" fontId="14" fillId="0" borderId="0" xfId="46" applyFont="1" applyBorder="1" applyAlignment="1" applyProtection="1">
      <alignment horizontal="right"/>
      <protection hidden="1"/>
    </xf>
    <xf numFmtId="0" fontId="14" fillId="0" borderId="0" xfId="46" applyFont="1" applyProtection="1">
      <protection hidden="1"/>
    </xf>
    <xf numFmtId="0" fontId="14" fillId="24" borderId="0" xfId="0" applyFont="1" applyFill="1" applyBorder="1" applyAlignment="1" applyProtection="1">
      <protection hidden="1"/>
    </xf>
    <xf numFmtId="14" fontId="19" fillId="24" borderId="0" xfId="44" applyNumberFormat="1" applyFont="1" applyFill="1" applyBorder="1" applyAlignment="1" applyProtection="1">
      <alignment horizontal="center" vertical="center"/>
      <protection hidden="1"/>
    </xf>
    <xf numFmtId="18" fontId="19" fillId="24" borderId="0" xfId="44" applyNumberFormat="1" applyFont="1" applyFill="1" applyBorder="1" applyAlignment="1" applyProtection="1">
      <alignment horizontal="center" vertical="center"/>
      <protection hidden="1"/>
    </xf>
    <xf numFmtId="0" fontId="19" fillId="24" borderId="0" xfId="44" applyFont="1" applyFill="1" applyAlignment="1" applyProtection="1">
      <alignment vertical="center"/>
      <protection hidden="1"/>
    </xf>
    <xf numFmtId="0" fontId="9" fillId="24" borderId="11" xfId="44" applyFont="1" applyFill="1" applyBorder="1" applyAlignment="1" applyProtection="1">
      <alignment horizontal="center" vertical="center"/>
      <protection hidden="1"/>
    </xf>
    <xf numFmtId="0" fontId="53" fillId="24" borderId="11" xfId="44" applyFont="1" applyFill="1" applyBorder="1" applyAlignment="1" applyProtection="1">
      <alignment horizontal="center" vertical="center"/>
      <protection hidden="1"/>
    </xf>
    <xf numFmtId="0" fontId="53" fillId="24" borderId="21" xfId="44" applyFont="1" applyFill="1" applyBorder="1" applyAlignment="1" applyProtection="1">
      <alignment horizontal="center" vertical="center"/>
      <protection hidden="1"/>
    </xf>
    <xf numFmtId="0" fontId="19" fillId="24" borderId="15" xfId="44" applyFont="1" applyFill="1" applyBorder="1" applyAlignment="1" applyProtection="1">
      <alignment horizontal="left" vertical="center"/>
      <protection hidden="1"/>
    </xf>
    <xf numFmtId="0" fontId="53" fillId="24" borderId="46" xfId="44" applyFont="1" applyFill="1" applyBorder="1" applyAlignment="1" applyProtection="1">
      <alignment horizontal="center" vertical="center"/>
      <protection hidden="1"/>
    </xf>
    <xf numFmtId="0" fontId="19" fillId="24" borderId="15" xfId="44" applyFont="1" applyFill="1" applyBorder="1" applyAlignment="1" applyProtection="1">
      <alignment horizontal="right" vertical="center"/>
      <protection hidden="1"/>
    </xf>
    <xf numFmtId="0" fontId="42" fillId="24" borderId="0" xfId="44" applyFont="1" applyFill="1" applyBorder="1" applyAlignment="1" applyProtection="1">
      <alignment vertical="center"/>
      <protection hidden="1"/>
    </xf>
    <xf numFmtId="0" fontId="15" fillId="24" borderId="0" xfId="44" applyFont="1" applyFill="1" applyAlignment="1" applyProtection="1">
      <alignment vertical="center"/>
      <protection hidden="1"/>
    </xf>
    <xf numFmtId="0" fontId="15" fillId="24" borderId="18" xfId="44" applyFont="1" applyFill="1" applyBorder="1" applyAlignment="1" applyProtection="1">
      <alignment vertical="center"/>
      <protection hidden="1"/>
    </xf>
    <xf numFmtId="2" fontId="15" fillId="24" borderId="0" xfId="44" applyNumberFormat="1" applyFont="1" applyFill="1" applyBorder="1" applyAlignment="1" applyProtection="1">
      <alignment vertical="center"/>
      <protection hidden="1"/>
    </xf>
    <xf numFmtId="0" fontId="15" fillId="24" borderId="0" xfId="44" applyNumberFormat="1" applyFont="1" applyFill="1" applyBorder="1" applyAlignment="1" applyProtection="1">
      <alignment vertical="center"/>
      <protection hidden="1"/>
    </xf>
    <xf numFmtId="2" fontId="18" fillId="24" borderId="0" xfId="44" applyNumberFormat="1" applyFont="1" applyFill="1" applyBorder="1" applyAlignment="1" applyProtection="1">
      <alignment vertical="center"/>
      <protection hidden="1"/>
    </xf>
    <xf numFmtId="0" fontId="15" fillId="24" borderId="0" xfId="46" applyFont="1" applyFill="1" applyBorder="1" applyAlignment="1" applyProtection="1">
      <protection hidden="1"/>
    </xf>
    <xf numFmtId="0" fontId="15" fillId="24" borderId="0" xfId="46" applyFont="1" applyFill="1" applyBorder="1" applyAlignment="1" applyProtection="1">
      <alignment vertical="top"/>
      <protection hidden="1"/>
    </xf>
    <xf numFmtId="0" fontId="18" fillId="24" borderId="0" xfId="46" applyFont="1" applyFill="1" applyBorder="1" applyAlignment="1" applyProtection="1">
      <protection hidden="1"/>
    </xf>
    <xf numFmtId="0" fontId="15" fillId="24" borderId="0" xfId="46" applyNumberFormat="1" applyFont="1" applyFill="1" applyBorder="1" applyAlignment="1" applyProtection="1">
      <alignment vertical="top" wrapText="1"/>
      <protection hidden="1"/>
    </xf>
    <xf numFmtId="4" fontId="15" fillId="24" borderId="0" xfId="46" applyNumberFormat="1" applyFont="1" applyFill="1" applyBorder="1" applyAlignment="1" applyProtection="1">
      <protection hidden="1"/>
    </xf>
    <xf numFmtId="2" fontId="15" fillId="24" borderId="0" xfId="46" applyNumberFormat="1" applyFont="1" applyFill="1" applyBorder="1" applyAlignment="1" applyProtection="1">
      <protection hidden="1"/>
    </xf>
    <xf numFmtId="166" fontId="15" fillId="24" borderId="0" xfId="46" applyNumberFormat="1" applyFont="1" applyFill="1" applyBorder="1" applyAlignment="1" applyProtection="1">
      <protection hidden="1"/>
    </xf>
    <xf numFmtId="0" fontId="19" fillId="24" borderId="0" xfId="46" applyFont="1" applyFill="1" applyBorder="1" applyProtection="1">
      <protection hidden="1"/>
    </xf>
    <xf numFmtId="0" fontId="15" fillId="24" borderId="0" xfId="46" applyFont="1" applyFill="1" applyBorder="1" applyAlignment="1" applyProtection="1">
      <alignment vertical="top" wrapText="1"/>
      <protection hidden="1"/>
    </xf>
    <xf numFmtId="164" fontId="15" fillId="24" borderId="0" xfId="46" applyNumberFormat="1" applyFont="1" applyFill="1" applyBorder="1" applyAlignment="1" applyProtection="1">
      <protection hidden="1"/>
    </xf>
    <xf numFmtId="2" fontId="14" fillId="24" borderId="0" xfId="44" applyNumberFormat="1" applyFont="1" applyFill="1" applyBorder="1" applyAlignment="1" applyProtection="1">
      <alignment vertical="center"/>
      <protection hidden="1"/>
    </xf>
    <xf numFmtId="164" fontId="15" fillId="24" borderId="0" xfId="44" applyNumberFormat="1" applyFont="1" applyFill="1" applyBorder="1" applyAlignment="1" applyProtection="1">
      <alignment vertical="center"/>
      <protection hidden="1"/>
    </xf>
    <xf numFmtId="0" fontId="14" fillId="29" borderId="0" xfId="44" applyFont="1" applyFill="1" applyBorder="1" applyAlignment="1" applyProtection="1">
      <alignment vertical="center"/>
      <protection hidden="1"/>
    </xf>
    <xf numFmtId="2" fontId="13" fillId="29" borderId="0" xfId="44" applyNumberFormat="1" applyFont="1" applyFill="1" applyBorder="1" applyAlignment="1" applyProtection="1">
      <alignment horizontal="centerContinuous" vertical="center"/>
      <protection hidden="1"/>
    </xf>
    <xf numFmtId="2" fontId="42" fillId="29" borderId="0" xfId="44" applyNumberFormat="1" applyFont="1" applyFill="1" applyBorder="1" applyAlignment="1" applyProtection="1">
      <alignment horizontal="centerContinuous" vertical="center"/>
      <protection hidden="1"/>
    </xf>
    <xf numFmtId="2" fontId="14" fillId="29" borderId="0" xfId="44" applyNumberFormat="1" applyFont="1" applyFill="1" applyBorder="1" applyAlignment="1" applyProtection="1">
      <alignment horizontal="centerContinuous" vertical="center"/>
      <protection hidden="1"/>
    </xf>
    <xf numFmtId="2" fontId="14" fillId="29" borderId="0" xfId="44" applyNumberFormat="1" applyFont="1" applyFill="1" applyBorder="1" applyAlignment="1" applyProtection="1">
      <alignment vertical="center"/>
      <protection hidden="1"/>
    </xf>
    <xf numFmtId="0" fontId="14" fillId="29" borderId="0" xfId="44" applyFont="1" applyFill="1" applyAlignment="1" applyProtection="1">
      <alignment vertical="center"/>
      <protection hidden="1"/>
    </xf>
    <xf numFmtId="0" fontId="14" fillId="29" borderId="0" xfId="44" applyFont="1" applyFill="1" applyBorder="1" applyAlignment="1" applyProtection="1">
      <alignment horizontal="centerContinuous" vertical="center"/>
      <protection hidden="1"/>
    </xf>
    <xf numFmtId="0" fontId="42" fillId="29" borderId="0" xfId="44" applyFont="1" applyFill="1" applyBorder="1" applyAlignment="1" applyProtection="1">
      <alignment horizontal="centerContinuous" vertical="center"/>
      <protection hidden="1"/>
    </xf>
    <xf numFmtId="165" fontId="42" fillId="29" borderId="0" xfId="44" applyNumberFormat="1" applyFont="1" applyFill="1" applyBorder="1" applyAlignment="1" applyProtection="1">
      <alignment horizontal="centerContinuous" vertical="center"/>
      <protection hidden="1"/>
    </xf>
    <xf numFmtId="0" fontId="42" fillId="29" borderId="0" xfId="44" applyFont="1" applyFill="1" applyAlignment="1" applyProtection="1">
      <alignment horizontal="centerContinuous" vertical="center"/>
      <protection hidden="1"/>
    </xf>
    <xf numFmtId="0" fontId="24" fillId="29" borderId="0" xfId="44" applyFont="1" applyFill="1" applyBorder="1" applyAlignment="1" applyProtection="1">
      <alignment vertical="center"/>
      <protection hidden="1"/>
    </xf>
    <xf numFmtId="0" fontId="15" fillId="29" borderId="0" xfId="44" applyFont="1" applyFill="1" applyBorder="1" applyAlignment="1" applyProtection="1">
      <alignment horizontal="center" vertical="center"/>
      <protection hidden="1"/>
    </xf>
    <xf numFmtId="165" fontId="15" fillId="29" borderId="0" xfId="44" applyNumberFormat="1" applyFont="1" applyFill="1" applyBorder="1" applyAlignment="1" applyProtection="1">
      <alignment horizontal="center" vertical="center"/>
      <protection hidden="1"/>
    </xf>
    <xf numFmtId="0" fontId="14" fillId="29" borderId="0" xfId="44" applyFont="1" applyFill="1" applyAlignment="1" applyProtection="1">
      <alignment horizontal="centerContinuous" vertical="center"/>
      <protection hidden="1"/>
    </xf>
    <xf numFmtId="0" fontId="14" fillId="29" borderId="0" xfId="44" applyFont="1" applyFill="1" applyBorder="1" applyAlignment="1" applyProtection="1">
      <alignment horizontal="right" vertical="center"/>
      <protection hidden="1"/>
    </xf>
    <xf numFmtId="165" fontId="14" fillId="29" borderId="0" xfId="44" applyNumberFormat="1" applyFont="1" applyFill="1" applyBorder="1" applyAlignment="1" applyProtection="1">
      <alignment horizontal="center" vertical="center"/>
      <protection hidden="1"/>
    </xf>
    <xf numFmtId="0" fontId="14" fillId="29" borderId="0" xfId="44" applyFont="1" applyFill="1" applyBorder="1" applyAlignment="1" applyProtection="1">
      <alignment horizontal="center" vertical="center"/>
      <protection hidden="1"/>
    </xf>
    <xf numFmtId="0" fontId="14" fillId="29" borderId="0" xfId="44" applyFont="1" applyFill="1" applyBorder="1" applyAlignment="1" applyProtection="1">
      <alignment horizontal="left" vertical="center"/>
      <protection hidden="1"/>
    </xf>
    <xf numFmtId="164" fontId="15" fillId="29" borderId="0" xfId="44" applyNumberFormat="1" applyFont="1" applyFill="1" applyBorder="1" applyAlignment="1" applyProtection="1">
      <alignment vertical="center"/>
      <protection hidden="1"/>
    </xf>
    <xf numFmtId="2" fontId="15" fillId="29" borderId="0" xfId="44" applyNumberFormat="1" applyFont="1" applyFill="1" applyBorder="1" applyAlignment="1" applyProtection="1">
      <alignment vertical="center"/>
      <protection hidden="1"/>
    </xf>
    <xf numFmtId="0" fontId="15" fillId="29" borderId="0" xfId="44" applyFont="1" applyFill="1" applyBorder="1" applyAlignment="1" applyProtection="1">
      <alignment vertical="center"/>
      <protection hidden="1"/>
    </xf>
    <xf numFmtId="2" fontId="14" fillId="29" borderId="0" xfId="44" applyNumberFormat="1" applyFont="1" applyFill="1" applyBorder="1" applyAlignment="1" applyProtection="1">
      <alignment horizontal="center" vertical="center"/>
      <protection hidden="1"/>
    </xf>
    <xf numFmtId="0" fontId="14" fillId="29" borderId="0" xfId="44" applyFont="1" applyFill="1" applyAlignment="1" applyProtection="1">
      <alignment horizontal="left" vertical="center"/>
      <protection hidden="1"/>
    </xf>
    <xf numFmtId="0" fontId="14" fillId="29" borderId="0" xfId="44" applyFont="1" applyFill="1" applyAlignment="1" applyProtection="1">
      <alignment horizontal="right" vertical="center"/>
      <protection hidden="1"/>
    </xf>
    <xf numFmtId="10" fontId="15" fillId="29" borderId="0" xfId="44" applyNumberFormat="1" applyFont="1" applyFill="1" applyBorder="1" applyAlignment="1" applyProtection="1">
      <alignment vertical="center"/>
      <protection hidden="1"/>
    </xf>
    <xf numFmtId="0" fontId="14" fillId="29" borderId="0" xfId="44" applyFont="1" applyFill="1" applyAlignment="1" applyProtection="1">
      <alignment horizontal="center" vertical="center"/>
      <protection hidden="1"/>
    </xf>
    <xf numFmtId="2" fontId="14" fillId="29" borderId="0" xfId="44" applyNumberFormat="1" applyFont="1" applyFill="1" applyAlignment="1" applyProtection="1">
      <alignment horizontal="center" vertical="center"/>
      <protection hidden="1"/>
    </xf>
    <xf numFmtId="0" fontId="19" fillId="29" borderId="0" xfId="44" applyFont="1" applyFill="1" applyBorder="1" applyAlignment="1" applyProtection="1">
      <alignment vertical="center"/>
      <protection hidden="1"/>
    </xf>
    <xf numFmtId="164" fontId="14" fillId="29" borderId="0" xfId="44" applyNumberFormat="1" applyFont="1" applyFill="1" applyAlignment="1" applyProtection="1">
      <alignment horizontal="center" vertical="center"/>
      <protection hidden="1"/>
    </xf>
    <xf numFmtId="0" fontId="17" fillId="29" borderId="0" xfId="44" applyFont="1" applyFill="1" applyBorder="1" applyAlignment="1" applyProtection="1">
      <alignment horizontal="right" vertical="center"/>
      <protection hidden="1"/>
    </xf>
    <xf numFmtId="0" fontId="17" fillId="29" borderId="0" xfId="44" applyFont="1" applyFill="1" applyAlignment="1" applyProtection="1">
      <alignment horizontal="left" vertical="center"/>
      <protection hidden="1"/>
    </xf>
    <xf numFmtId="0" fontId="15" fillId="29" borderId="0" xfId="44" applyFont="1" applyFill="1" applyBorder="1" applyAlignment="1" applyProtection="1">
      <alignment horizontal="right" vertical="center"/>
      <protection hidden="1"/>
    </xf>
    <xf numFmtId="10" fontId="30" fillId="29" borderId="0" xfId="44" applyNumberFormat="1" applyFont="1" applyFill="1" applyBorder="1" applyAlignment="1" applyProtection="1">
      <alignment horizontal="center" vertical="center"/>
      <protection hidden="1"/>
    </xf>
    <xf numFmtId="0" fontId="20" fillId="29" borderId="0" xfId="44" applyFont="1" applyFill="1" applyBorder="1" applyAlignment="1" applyProtection="1">
      <alignment horizontal="right" vertical="center"/>
      <protection hidden="1"/>
    </xf>
    <xf numFmtId="10" fontId="8" fillId="29" borderId="0" xfId="44" applyNumberFormat="1" applyFont="1" applyFill="1" applyBorder="1" applyAlignment="1" applyProtection="1">
      <alignment horizontal="center" vertical="center"/>
      <protection hidden="1"/>
    </xf>
    <xf numFmtId="0" fontId="19" fillId="29" borderId="0" xfId="44" applyFont="1" applyFill="1" applyBorder="1" applyAlignment="1" applyProtection="1">
      <alignment horizontal="center" vertical="center"/>
      <protection hidden="1"/>
    </xf>
    <xf numFmtId="14" fontId="19" fillId="29" borderId="0" xfId="44" applyNumberFormat="1" applyFont="1" applyFill="1" applyBorder="1" applyAlignment="1" applyProtection="1">
      <alignment horizontal="center" vertical="center"/>
      <protection hidden="1"/>
    </xf>
    <xf numFmtId="18" fontId="19" fillId="29" borderId="0" xfId="44" applyNumberFormat="1" applyFont="1" applyFill="1" applyBorder="1" applyAlignment="1" applyProtection="1">
      <alignment horizontal="center" vertical="center"/>
      <protection hidden="1"/>
    </xf>
    <xf numFmtId="0" fontId="14" fillId="29" borderId="0" xfId="44" applyNumberFormat="1" applyFont="1" applyFill="1" applyBorder="1" applyAlignment="1" applyProtection="1">
      <alignment horizontal="center" vertical="center"/>
      <protection hidden="1"/>
    </xf>
    <xf numFmtId="0" fontId="20" fillId="29" borderId="0" xfId="44" applyFont="1" applyFill="1" applyBorder="1" applyAlignment="1" applyProtection="1">
      <alignment vertical="center"/>
      <protection hidden="1"/>
    </xf>
    <xf numFmtId="0" fontId="11" fillId="29" borderId="0" xfId="44" applyFont="1" applyFill="1" applyBorder="1" applyAlignment="1" applyProtection="1">
      <alignment horizontal="left" vertical="center"/>
      <protection hidden="1"/>
    </xf>
    <xf numFmtId="0" fontId="21" fillId="29" borderId="0" xfId="44" applyFont="1" applyFill="1" applyBorder="1" applyAlignment="1" applyProtection="1">
      <alignment horizontal="right" vertical="center"/>
      <protection hidden="1"/>
    </xf>
    <xf numFmtId="0" fontId="25" fillId="29" borderId="0" xfId="44" applyFont="1" applyFill="1" applyBorder="1" applyAlignment="1" applyProtection="1">
      <alignment vertical="center"/>
      <protection hidden="1"/>
    </xf>
    <xf numFmtId="0" fontId="23" fillId="29" borderId="0" xfId="44" applyFont="1" applyFill="1" applyBorder="1" applyAlignment="1" applyProtection="1">
      <alignment vertical="center"/>
      <protection hidden="1"/>
    </xf>
    <xf numFmtId="0" fontId="8" fillId="29" borderId="0" xfId="44" applyFont="1" applyFill="1" applyBorder="1" applyAlignment="1" applyProtection="1">
      <alignment horizontal="right" vertical="center"/>
      <protection hidden="1"/>
    </xf>
    <xf numFmtId="0" fontId="19" fillId="29" borderId="0" xfId="44" applyFont="1" applyFill="1" applyBorder="1" applyAlignment="1" applyProtection="1">
      <alignment horizontal="right" vertical="center"/>
      <protection hidden="1"/>
    </xf>
    <xf numFmtId="2" fontId="19" fillId="29" borderId="0" xfId="44" applyNumberFormat="1" applyFont="1" applyFill="1" applyBorder="1" applyAlignment="1" applyProtection="1">
      <alignment horizontal="center" vertical="center"/>
      <protection hidden="1"/>
    </xf>
    <xf numFmtId="2" fontId="15" fillId="29" borderId="0" xfId="44" applyNumberFormat="1" applyFont="1" applyFill="1" applyBorder="1" applyAlignment="1" applyProtection="1">
      <alignment horizontal="center" vertical="center"/>
      <protection hidden="1"/>
    </xf>
    <xf numFmtId="0" fontId="13" fillId="29" borderId="0" xfId="44" applyFont="1" applyFill="1" applyBorder="1" applyAlignment="1" applyProtection="1">
      <alignment vertical="center"/>
      <protection hidden="1"/>
    </xf>
    <xf numFmtId="0" fontId="17" fillId="29" borderId="0" xfId="44" applyFont="1" applyFill="1" applyBorder="1" applyAlignment="1" applyProtection="1">
      <alignment horizontal="left" vertical="center"/>
      <protection hidden="1"/>
    </xf>
    <xf numFmtId="164" fontId="14" fillId="29" borderId="0" xfId="44" applyNumberFormat="1" applyFont="1" applyFill="1" applyBorder="1" applyAlignment="1" applyProtection="1">
      <alignment horizontal="right" vertical="center"/>
      <protection hidden="1"/>
    </xf>
    <xf numFmtId="0" fontId="15" fillId="29" borderId="0" xfId="44" applyFont="1" applyFill="1" applyBorder="1" applyAlignment="1" applyProtection="1">
      <alignment horizontal="left" vertical="center"/>
      <protection hidden="1"/>
    </xf>
    <xf numFmtId="0" fontId="29" fillId="29" borderId="0" xfId="44" applyFont="1" applyFill="1" applyBorder="1" applyAlignment="1" applyProtection="1">
      <alignment horizontal="left" vertical="center"/>
      <protection hidden="1"/>
    </xf>
    <xf numFmtId="0" fontId="28" fillId="29" borderId="0" xfId="44" applyFont="1" applyFill="1" applyBorder="1" applyAlignment="1" applyProtection="1">
      <alignment horizontal="left" vertical="center"/>
      <protection hidden="1"/>
    </xf>
    <xf numFmtId="165" fontId="14" fillId="29" borderId="0" xfId="44" applyNumberFormat="1" applyFont="1" applyFill="1" applyAlignment="1" applyProtection="1">
      <alignment horizontal="center" vertical="center"/>
      <protection hidden="1"/>
    </xf>
    <xf numFmtId="0" fontId="12" fillId="29" borderId="0" xfId="44" applyFont="1" applyFill="1" applyBorder="1" applyAlignment="1" applyProtection="1">
      <alignment horizontal="left" vertical="center"/>
      <protection hidden="1"/>
    </xf>
    <xf numFmtId="0" fontId="19" fillId="29" borderId="0" xfId="44" applyFont="1" applyFill="1" applyBorder="1" applyAlignment="1" applyProtection="1">
      <alignment horizontal="left" vertical="center"/>
      <protection hidden="1"/>
    </xf>
    <xf numFmtId="2" fontId="14" fillId="29" borderId="0" xfId="44" applyNumberFormat="1" applyFont="1" applyFill="1" applyBorder="1" applyAlignment="1" applyProtection="1">
      <alignment horizontal="left" vertical="center"/>
      <protection hidden="1"/>
    </xf>
    <xf numFmtId="0" fontId="12" fillId="29" borderId="0" xfId="44" applyFont="1" applyFill="1" applyBorder="1" applyAlignment="1" applyProtection="1">
      <alignment vertical="center"/>
      <protection hidden="1"/>
    </xf>
    <xf numFmtId="0" fontId="11" fillId="29" borderId="0" xfId="44" applyFont="1" applyFill="1" applyBorder="1" applyAlignment="1" applyProtection="1">
      <alignment vertical="center"/>
      <protection hidden="1"/>
    </xf>
    <xf numFmtId="0" fontId="12" fillId="29" borderId="0" xfId="44" applyFont="1" applyFill="1" applyBorder="1" applyAlignment="1" applyProtection="1">
      <alignment horizontal="right" vertical="center"/>
      <protection hidden="1"/>
    </xf>
    <xf numFmtId="0" fontId="16" fillId="29" borderId="0" xfId="44" applyFont="1" applyFill="1" applyAlignment="1" applyProtection="1">
      <alignment horizontal="left" vertical="center"/>
      <protection hidden="1"/>
    </xf>
    <xf numFmtId="10" fontId="19" fillId="29" borderId="0" xfId="44" applyNumberFormat="1" applyFont="1" applyFill="1" applyBorder="1" applyAlignment="1" applyProtection="1">
      <alignment horizontal="center" vertical="center"/>
      <protection hidden="1"/>
    </xf>
    <xf numFmtId="10" fontId="15" fillId="29" borderId="0" xfId="44" applyNumberFormat="1" applyFont="1" applyFill="1" applyBorder="1" applyAlignment="1" applyProtection="1">
      <alignment horizontal="center" vertical="center"/>
      <protection hidden="1"/>
    </xf>
    <xf numFmtId="2" fontId="30" fillId="29" borderId="0" xfId="44" applyNumberFormat="1" applyFont="1" applyFill="1" applyBorder="1" applyAlignment="1" applyProtection="1">
      <alignment horizontal="center" vertical="center"/>
      <protection hidden="1"/>
    </xf>
    <xf numFmtId="0" fontId="30" fillId="29" borderId="0" xfId="44" applyFont="1" applyFill="1" applyBorder="1" applyAlignment="1" applyProtection="1">
      <alignment horizontal="left" vertical="center"/>
      <protection hidden="1"/>
    </xf>
    <xf numFmtId="164" fontId="14" fillId="29" borderId="0" xfId="44" applyNumberFormat="1" applyFont="1" applyFill="1" applyBorder="1" applyAlignment="1" applyProtection="1">
      <alignment horizontal="center" vertical="center"/>
      <protection hidden="1"/>
    </xf>
    <xf numFmtId="164" fontId="27" fillId="29" borderId="0" xfId="44" applyNumberFormat="1" applyFont="1" applyFill="1" applyBorder="1" applyAlignment="1" applyProtection="1">
      <alignment horizontal="left" vertical="center"/>
      <protection hidden="1"/>
    </xf>
    <xf numFmtId="0" fontId="13" fillId="29" borderId="0" xfId="44" applyFont="1" applyFill="1" applyBorder="1" applyAlignment="1" applyProtection="1">
      <alignment horizontal="left" vertical="center"/>
      <protection hidden="1"/>
    </xf>
    <xf numFmtId="0" fontId="29" fillId="29" borderId="0" xfId="44" applyFont="1" applyFill="1" applyBorder="1" applyAlignment="1" applyProtection="1">
      <alignment horizontal="right" vertical="center"/>
      <protection hidden="1"/>
    </xf>
    <xf numFmtId="0" fontId="29" fillId="29" borderId="0" xfId="44" applyFont="1" applyFill="1" applyBorder="1" applyAlignment="1" applyProtection="1">
      <alignment vertical="center"/>
      <protection hidden="1"/>
    </xf>
    <xf numFmtId="164" fontId="15" fillId="29" borderId="0" xfId="44" applyNumberFormat="1" applyFont="1" applyFill="1" applyBorder="1" applyAlignment="1" applyProtection="1">
      <alignment horizontal="right" vertical="center"/>
      <protection hidden="1"/>
    </xf>
    <xf numFmtId="0" fontId="19" fillId="29" borderId="0" xfId="44" applyFont="1" applyFill="1" applyAlignment="1" applyProtection="1">
      <alignment vertical="center"/>
      <protection hidden="1"/>
    </xf>
    <xf numFmtId="0" fontId="0" fillId="29" borderId="0" xfId="0" applyFill="1" applyBorder="1" applyAlignment="1" applyProtection="1">
      <alignment wrapText="1"/>
      <protection hidden="1"/>
    </xf>
    <xf numFmtId="0" fontId="14" fillId="29" borderId="0" xfId="44" applyFont="1" applyFill="1" applyBorder="1" applyAlignment="1" applyProtection="1">
      <protection hidden="1"/>
    </xf>
    <xf numFmtId="0" fontId="19" fillId="29" borderId="0" xfId="44" applyFont="1" applyFill="1" applyBorder="1" applyAlignment="1" applyProtection="1">
      <protection hidden="1"/>
    </xf>
    <xf numFmtId="0" fontId="19" fillId="29" borderId="16" xfId="44" applyFont="1" applyFill="1" applyBorder="1" applyAlignment="1" applyProtection="1">
      <alignment vertical="center"/>
      <protection hidden="1"/>
    </xf>
    <xf numFmtId="0" fontId="22" fillId="29" borderId="0" xfId="44" applyFont="1" applyFill="1" applyBorder="1" applyAlignment="1" applyProtection="1">
      <alignment horizontal="left" vertical="center"/>
      <protection hidden="1"/>
    </xf>
    <xf numFmtId="0" fontId="42" fillId="29" borderId="0" xfId="44" applyFont="1" applyFill="1" applyBorder="1" applyAlignment="1" applyProtection="1">
      <alignment horizontal="right" vertical="center"/>
      <protection hidden="1"/>
    </xf>
    <xf numFmtId="0" fontId="99" fillId="29" borderId="0" xfId="44" applyFont="1" applyFill="1" applyBorder="1" applyAlignment="1" applyProtection="1">
      <alignment horizontal="left" vertical="center"/>
      <protection hidden="1"/>
    </xf>
    <xf numFmtId="2" fontId="15" fillId="29" borderId="0" xfId="44" applyNumberFormat="1" applyFont="1" applyFill="1" applyBorder="1" applyAlignment="1" applyProtection="1">
      <alignment horizontal="left" vertical="center"/>
      <protection hidden="1"/>
    </xf>
    <xf numFmtId="0" fontId="14" fillId="29" borderId="16" xfId="44" applyFont="1" applyFill="1" applyBorder="1" applyAlignment="1" applyProtection="1">
      <alignment vertical="center"/>
      <protection hidden="1"/>
    </xf>
    <xf numFmtId="0" fontId="36" fillId="29" borderId="0" xfId="44" applyFont="1" applyFill="1" applyBorder="1" applyAlignment="1" applyProtection="1">
      <alignment vertical="center"/>
      <protection hidden="1"/>
    </xf>
    <xf numFmtId="0" fontId="15" fillId="29" borderId="16" xfId="44" applyFont="1" applyFill="1" applyBorder="1" applyAlignment="1" applyProtection="1">
      <alignment vertical="center"/>
      <protection hidden="1"/>
    </xf>
    <xf numFmtId="164" fontId="15" fillId="29" borderId="0" xfId="44" applyNumberFormat="1" applyFont="1" applyFill="1" applyBorder="1" applyAlignment="1" applyProtection="1">
      <alignment horizontal="center" vertical="center"/>
      <protection hidden="1"/>
    </xf>
    <xf numFmtId="0" fontId="25" fillId="29" borderId="0" xfId="44" applyFont="1" applyFill="1" applyBorder="1" applyAlignment="1" applyProtection="1">
      <alignment horizontal="right" vertical="center"/>
      <protection hidden="1"/>
    </xf>
    <xf numFmtId="0" fontId="23" fillId="29" borderId="0" xfId="44" applyFont="1" applyFill="1" applyBorder="1" applyAlignment="1" applyProtection="1">
      <alignment horizontal="right" vertical="center"/>
      <protection hidden="1"/>
    </xf>
    <xf numFmtId="0" fontId="14" fillId="29" borderId="0" xfId="46" applyFont="1" applyFill="1" applyBorder="1" applyAlignment="1" applyProtection="1">
      <alignment vertical="center"/>
      <protection hidden="1"/>
    </xf>
    <xf numFmtId="0" fontId="18" fillId="29" borderId="0" xfId="44" applyFont="1" applyFill="1" applyBorder="1" applyAlignment="1" applyProtection="1">
      <alignment vertical="center"/>
      <protection hidden="1"/>
    </xf>
    <xf numFmtId="164" fontId="19" fillId="29" borderId="0" xfId="44" applyNumberFormat="1" applyFont="1" applyFill="1" applyBorder="1" applyAlignment="1" applyProtection="1">
      <alignment horizontal="center" vertical="center"/>
      <protection hidden="1"/>
    </xf>
    <xf numFmtId="10" fontId="15" fillId="29" borderId="16" xfId="44" applyNumberFormat="1" applyFont="1" applyFill="1" applyBorder="1" applyAlignment="1" applyProtection="1">
      <alignment horizontal="center" vertical="center"/>
      <protection hidden="1"/>
    </xf>
    <xf numFmtId="0" fontId="37" fillId="29" borderId="0" xfId="44" applyFont="1" applyFill="1" applyBorder="1" applyAlignment="1" applyProtection="1">
      <alignment vertical="center"/>
      <protection hidden="1"/>
    </xf>
    <xf numFmtId="0" fontId="15" fillId="29" borderId="18" xfId="44" applyFont="1" applyFill="1" applyBorder="1" applyAlignment="1" applyProtection="1">
      <alignment vertical="center"/>
      <protection hidden="1"/>
    </xf>
    <xf numFmtId="0" fontId="15" fillId="29" borderId="19" xfId="44" applyFont="1" applyFill="1" applyBorder="1" applyAlignment="1" applyProtection="1">
      <alignment vertical="center"/>
      <protection hidden="1"/>
    </xf>
    <xf numFmtId="0" fontId="14" fillId="29" borderId="0" xfId="44" applyFont="1" applyFill="1" applyBorder="1" applyAlignment="1" applyProtection="1">
      <alignment vertical="center"/>
      <protection locked="0"/>
    </xf>
    <xf numFmtId="0" fontId="14" fillId="29" borderId="16" xfId="44" applyFont="1" applyFill="1" applyBorder="1" applyAlignment="1" applyProtection="1">
      <alignment horizontal="left" vertical="center"/>
      <protection hidden="1"/>
    </xf>
    <xf numFmtId="2" fontId="19" fillId="29" borderId="0" xfId="44" applyNumberFormat="1" applyFont="1" applyFill="1" applyBorder="1" applyAlignment="1" applyProtection="1">
      <alignment vertical="center"/>
      <protection hidden="1"/>
    </xf>
    <xf numFmtId="0" fontId="9" fillId="29" borderId="16" xfId="44" applyFont="1" applyFill="1" applyBorder="1" applyAlignment="1" applyProtection="1">
      <alignment horizontal="left" vertical="center"/>
      <protection hidden="1"/>
    </xf>
    <xf numFmtId="0" fontId="37" fillId="29" borderId="0" xfId="44" applyFont="1" applyFill="1" applyBorder="1" applyAlignment="1" applyProtection="1">
      <alignment horizontal="left" vertical="center"/>
      <protection hidden="1"/>
    </xf>
    <xf numFmtId="2" fontId="18" fillId="29" borderId="0" xfId="44" applyNumberFormat="1" applyFont="1" applyFill="1" applyBorder="1" applyAlignment="1" applyProtection="1">
      <alignment horizontal="left" vertical="center"/>
      <protection hidden="1"/>
    </xf>
    <xf numFmtId="0" fontId="14" fillId="29" borderId="15" xfId="44" applyFont="1" applyFill="1" applyBorder="1" applyAlignment="1" applyProtection="1">
      <alignment horizontal="right" vertical="center"/>
      <protection hidden="1"/>
    </xf>
    <xf numFmtId="0" fontId="20" fillId="29" borderId="15" xfId="44" applyFont="1" applyFill="1" applyBorder="1" applyAlignment="1" applyProtection="1">
      <alignment vertical="center"/>
      <protection hidden="1"/>
    </xf>
    <xf numFmtId="0" fontId="19" fillId="29" borderId="15" xfId="44" applyFont="1" applyFill="1" applyBorder="1" applyAlignment="1" applyProtection="1">
      <alignment horizontal="left" vertical="center"/>
      <protection hidden="1"/>
    </xf>
    <xf numFmtId="0" fontId="19" fillId="29" borderId="15" xfId="44" applyFont="1" applyFill="1" applyBorder="1" applyAlignment="1" applyProtection="1">
      <alignment horizontal="right" vertical="center"/>
      <protection hidden="1"/>
    </xf>
    <xf numFmtId="0" fontId="19" fillId="29" borderId="15" xfId="44" applyFont="1" applyFill="1" applyBorder="1" applyAlignment="1" applyProtection="1">
      <alignment vertical="center"/>
      <protection hidden="1"/>
    </xf>
    <xf numFmtId="0" fontId="13" fillId="29" borderId="15" xfId="44" applyFont="1" applyFill="1" applyBorder="1" applyAlignment="1" applyProtection="1">
      <alignment vertical="center"/>
      <protection hidden="1"/>
    </xf>
    <xf numFmtId="0" fontId="27" fillId="29" borderId="15" xfId="44" applyFont="1" applyFill="1" applyBorder="1" applyAlignment="1" applyProtection="1">
      <alignment vertical="center"/>
      <protection hidden="1"/>
    </xf>
    <xf numFmtId="0" fontId="15" fillId="29" borderId="17" xfId="44" applyFont="1" applyFill="1" applyBorder="1" applyAlignment="1" applyProtection="1">
      <alignment vertical="center"/>
      <protection hidden="1"/>
    </xf>
    <xf numFmtId="0" fontId="14" fillId="29" borderId="16" xfId="44" applyFont="1" applyFill="1" applyBorder="1" applyAlignment="1" applyProtection="1">
      <alignment horizontal="left"/>
      <protection hidden="1"/>
    </xf>
    <xf numFmtId="0" fontId="37" fillId="29" borderId="0" xfId="53" applyFont="1" applyFill="1" applyBorder="1" applyAlignment="1" applyProtection="1">
      <alignment horizontal="left" vertical="center"/>
      <protection hidden="1"/>
    </xf>
    <xf numFmtId="10" fontId="14" fillId="29" borderId="16" xfId="44" applyNumberFormat="1" applyFont="1" applyFill="1" applyBorder="1" applyAlignment="1" applyProtection="1">
      <alignment horizontal="center" vertical="center"/>
      <protection hidden="1"/>
    </xf>
    <xf numFmtId="0" fontId="9" fillId="29" borderId="16" xfId="44" applyFont="1" applyFill="1" applyBorder="1" applyAlignment="1" applyProtection="1">
      <alignment horizontal="centerContinuous" vertical="center"/>
      <protection hidden="1"/>
    </xf>
    <xf numFmtId="0" fontId="8" fillId="29" borderId="0" xfId="44" applyFont="1" applyFill="1" applyBorder="1" applyAlignment="1" applyProtection="1">
      <alignment vertical="center"/>
      <protection hidden="1"/>
    </xf>
    <xf numFmtId="2" fontId="16" fillId="29" borderId="0" xfId="44" applyNumberFormat="1" applyFont="1" applyFill="1" applyBorder="1" applyAlignment="1" applyProtection="1">
      <alignment horizontal="center" vertical="center"/>
      <protection hidden="1"/>
    </xf>
    <xf numFmtId="0" fontId="19" fillId="29" borderId="18" xfId="44" applyFont="1" applyFill="1" applyBorder="1" applyAlignment="1" applyProtection="1">
      <alignment vertical="center"/>
      <protection hidden="1"/>
    </xf>
    <xf numFmtId="0" fontId="37" fillId="29" borderId="19" xfId="44" applyFont="1" applyFill="1" applyBorder="1" applyAlignment="1" applyProtection="1">
      <alignment horizontal="center" vertical="center"/>
      <protection hidden="1"/>
    </xf>
    <xf numFmtId="0" fontId="19" fillId="29" borderId="13" xfId="44" applyFont="1" applyFill="1" applyBorder="1" applyAlignment="1" applyProtection="1">
      <alignment vertical="center"/>
      <protection hidden="1"/>
    </xf>
    <xf numFmtId="0" fontId="19" fillId="29" borderId="14" xfId="44" applyFont="1" applyFill="1" applyBorder="1" applyAlignment="1" applyProtection="1">
      <alignment vertical="center"/>
      <protection hidden="1"/>
    </xf>
    <xf numFmtId="0" fontId="14" fillId="29" borderId="0" xfId="46" applyFont="1" applyFill="1" applyBorder="1" applyAlignment="1" applyProtection="1">
      <alignment horizontal="center"/>
      <protection hidden="1"/>
    </xf>
    <xf numFmtId="2" fontId="14" fillId="29" borderId="0" xfId="46" applyNumberFormat="1" applyFont="1" applyFill="1" applyBorder="1" applyAlignment="1" applyProtection="1">
      <alignment horizontal="center"/>
      <protection hidden="1"/>
    </xf>
    <xf numFmtId="0" fontId="18" fillId="29" borderId="0" xfId="44" applyFont="1" applyFill="1" applyBorder="1" applyAlignment="1" applyProtection="1">
      <alignment horizontal="center" vertical="center"/>
      <protection hidden="1"/>
    </xf>
    <xf numFmtId="164" fontId="15" fillId="29" borderId="0" xfId="44" applyNumberFormat="1" applyFont="1" applyFill="1" applyBorder="1" applyAlignment="1" applyProtection="1">
      <alignment horizontal="left" vertical="center"/>
      <protection hidden="1"/>
    </xf>
    <xf numFmtId="0" fontId="18" fillId="29" borderId="0" xfId="44" applyFont="1" applyFill="1" applyBorder="1" applyAlignment="1" applyProtection="1">
      <alignment horizontal="left" vertical="center"/>
      <protection hidden="1"/>
    </xf>
    <xf numFmtId="0" fontId="102" fillId="29" borderId="0" xfId="44" applyFont="1" applyFill="1" applyBorder="1" applyAlignment="1" applyProtection="1">
      <alignment vertical="center"/>
      <protection hidden="1"/>
    </xf>
    <xf numFmtId="0" fontId="14" fillId="29" borderId="16" xfId="44" applyFont="1" applyFill="1" applyBorder="1" applyAlignment="1" applyProtection="1">
      <alignment vertical="center"/>
      <protection locked="0"/>
    </xf>
    <xf numFmtId="0" fontId="14" fillId="29" borderId="18" xfId="44" applyFont="1" applyFill="1" applyBorder="1" applyAlignment="1" applyProtection="1">
      <alignment vertical="center"/>
      <protection locked="0"/>
    </xf>
    <xf numFmtId="0" fontId="14" fillId="29" borderId="19" xfId="44" applyFont="1" applyFill="1" applyBorder="1" applyAlignment="1" applyProtection="1">
      <alignment vertical="center"/>
      <protection locked="0"/>
    </xf>
    <xf numFmtId="164" fontId="14" fillId="29" borderId="9" xfId="44" applyNumberFormat="1" applyFont="1" applyFill="1" applyBorder="1" applyAlignment="1" applyProtection="1">
      <alignment horizontal="center" vertical="center"/>
      <protection hidden="1"/>
    </xf>
    <xf numFmtId="164" fontId="14" fillId="29" borderId="21" xfId="44" applyNumberFormat="1" applyFont="1" applyFill="1" applyBorder="1" applyAlignment="1" applyProtection="1">
      <alignment horizontal="center" vertical="center"/>
      <protection hidden="1"/>
    </xf>
    <xf numFmtId="0" fontId="14" fillId="29" borderId="9" xfId="44" applyFont="1" applyFill="1" applyBorder="1" applyAlignment="1" applyProtection="1">
      <alignment horizontal="center" vertical="center"/>
      <protection hidden="1"/>
    </xf>
    <xf numFmtId="0" fontId="14" fillId="29" borderId="8" xfId="44" applyFont="1" applyFill="1" applyBorder="1" applyAlignment="1" applyProtection="1">
      <alignment horizontal="center" vertical="center"/>
      <protection hidden="1"/>
    </xf>
    <xf numFmtId="0" fontId="14" fillId="29" borderId="21" xfId="44" applyFont="1" applyFill="1" applyBorder="1" applyAlignment="1" applyProtection="1">
      <alignment horizontal="center" vertical="center"/>
      <protection hidden="1"/>
    </xf>
    <xf numFmtId="164" fontId="14" fillId="29" borderId="20" xfId="44" applyNumberFormat="1" applyFont="1" applyFill="1" applyBorder="1" applyAlignment="1" applyProtection="1">
      <alignment horizontal="center" vertical="center"/>
      <protection hidden="1"/>
    </xf>
    <xf numFmtId="0" fontId="19" fillId="29" borderId="17" xfId="44" applyFont="1" applyFill="1" applyBorder="1" applyAlignment="1" applyProtection="1">
      <alignment vertical="center"/>
      <protection hidden="1"/>
    </xf>
    <xf numFmtId="0" fontId="19" fillId="29" borderId="12" xfId="44" applyFont="1" applyFill="1" applyBorder="1" applyAlignment="1" applyProtection="1">
      <alignment vertical="center"/>
      <protection hidden="1"/>
    </xf>
    <xf numFmtId="2" fontId="14" fillId="29" borderId="9" xfId="44" applyNumberFormat="1" applyFont="1" applyFill="1" applyBorder="1" applyAlignment="1" applyProtection="1">
      <alignment horizontal="center" vertical="center"/>
      <protection hidden="1"/>
    </xf>
    <xf numFmtId="164" fontId="14" fillId="29" borderId="8" xfId="44" applyNumberFormat="1" applyFont="1" applyFill="1" applyBorder="1" applyAlignment="1" applyProtection="1">
      <alignment horizontal="center" vertical="center"/>
      <protection hidden="1"/>
    </xf>
    <xf numFmtId="2" fontId="14" fillId="29" borderId="21" xfId="44" applyNumberFormat="1" applyFont="1" applyFill="1" applyBorder="1" applyAlignment="1" applyProtection="1">
      <alignment horizontal="center" vertical="center"/>
      <protection hidden="1"/>
    </xf>
    <xf numFmtId="0" fontId="42" fillId="29" borderId="15" xfId="44" applyFont="1" applyFill="1" applyBorder="1" applyAlignment="1" applyProtection="1">
      <alignment vertical="center"/>
      <protection hidden="1"/>
    </xf>
    <xf numFmtId="0" fontId="15" fillId="29" borderId="15" xfId="44" applyFont="1" applyFill="1" applyBorder="1" applyAlignment="1" applyProtection="1">
      <alignment vertical="center"/>
      <protection hidden="1"/>
    </xf>
    <xf numFmtId="0" fontId="15" fillId="29" borderId="0" xfId="46" applyFont="1" applyFill="1" applyBorder="1" applyAlignment="1" applyProtection="1">
      <alignment horizontal="center" vertical="top"/>
      <protection hidden="1"/>
    </xf>
    <xf numFmtId="0" fontId="15" fillId="29" borderId="0" xfId="44" applyNumberFormat="1" applyFont="1" applyFill="1" applyBorder="1" applyAlignment="1" applyProtection="1">
      <alignment horizontal="center" vertical="center"/>
      <protection hidden="1"/>
    </xf>
    <xf numFmtId="0" fontId="15" fillId="29" borderId="0" xfId="44" applyNumberFormat="1" applyFont="1" applyFill="1" applyBorder="1" applyAlignment="1" applyProtection="1">
      <alignment horizontal="right" vertical="center"/>
      <protection hidden="1"/>
    </xf>
    <xf numFmtId="2" fontId="15" fillId="29" borderId="0" xfId="44" applyNumberFormat="1" applyFont="1" applyFill="1" applyBorder="1" applyAlignment="1" applyProtection="1">
      <alignment horizontal="right" vertical="center"/>
      <protection hidden="1"/>
    </xf>
    <xf numFmtId="2" fontId="14" fillId="29" borderId="8" xfId="44" applyNumberFormat="1" applyFont="1" applyFill="1" applyBorder="1" applyAlignment="1" applyProtection="1">
      <alignment horizontal="center" vertical="center"/>
      <protection hidden="1"/>
    </xf>
    <xf numFmtId="0" fontId="14" fillId="29" borderId="15" xfId="44" applyFont="1" applyFill="1" applyBorder="1" applyAlignment="1" applyProtection="1">
      <alignment vertical="center"/>
      <protection hidden="1"/>
    </xf>
    <xf numFmtId="0" fontId="15" fillId="29" borderId="0" xfId="46" applyFont="1" applyFill="1" applyBorder="1" applyAlignment="1" applyProtection="1">
      <alignment horizontal="right"/>
      <protection hidden="1"/>
    </xf>
    <xf numFmtId="0" fontId="14" fillId="29" borderId="0" xfId="53" applyFont="1" applyFill="1" applyBorder="1" applyAlignment="1" applyProtection="1">
      <alignment vertical="center"/>
      <protection hidden="1"/>
    </xf>
    <xf numFmtId="0" fontId="14" fillId="29" borderId="0" xfId="53" applyFont="1" applyFill="1" applyAlignment="1" applyProtection="1">
      <alignment vertical="center"/>
      <protection hidden="1"/>
    </xf>
    <xf numFmtId="0" fontId="19" fillId="29" borderId="0" xfId="53" applyFont="1" applyFill="1" applyAlignment="1" applyProtection="1">
      <alignment vertical="center"/>
      <protection hidden="1"/>
    </xf>
    <xf numFmtId="2" fontId="14" fillId="29" borderId="0" xfId="53" applyNumberFormat="1" applyFont="1" applyFill="1" applyBorder="1" applyAlignment="1" applyProtection="1">
      <alignment vertical="center"/>
      <protection hidden="1"/>
    </xf>
    <xf numFmtId="0" fontId="20" fillId="29" borderId="0" xfId="53" applyFont="1" applyFill="1" applyBorder="1" applyAlignment="1" applyProtection="1">
      <alignment horizontal="left" vertical="center"/>
      <protection hidden="1"/>
    </xf>
    <xf numFmtId="0" fontId="14" fillId="29" borderId="0" xfId="53" applyFont="1" applyFill="1" applyBorder="1" applyAlignment="1" applyProtection="1">
      <alignment horizontal="right" vertical="center"/>
      <protection hidden="1"/>
    </xf>
    <xf numFmtId="2" fontId="14" fillId="29" borderId="0" xfId="53" applyNumberFormat="1" applyFont="1" applyFill="1" applyBorder="1" applyAlignment="1" applyProtection="1">
      <alignment horizontal="center" vertical="center"/>
      <protection hidden="1"/>
    </xf>
    <xf numFmtId="0" fontId="19" fillId="29" borderId="0" xfId="53" applyFont="1" applyFill="1" applyBorder="1" applyAlignment="1" applyProtection="1">
      <alignment horizontal="right" vertical="center"/>
      <protection hidden="1"/>
    </xf>
    <xf numFmtId="0" fontId="22" fillId="29" borderId="0" xfId="53" applyFont="1" applyFill="1" applyBorder="1" applyAlignment="1" applyProtection="1">
      <alignment horizontal="left"/>
      <protection hidden="1"/>
    </xf>
    <xf numFmtId="0" fontId="19" fillId="29" borderId="0" xfId="53" applyFont="1" applyFill="1" applyBorder="1" applyAlignment="1" applyProtection="1">
      <alignment horizontal="left" vertical="top"/>
      <protection hidden="1"/>
    </xf>
    <xf numFmtId="2" fontId="14" fillId="29" borderId="10" xfId="53" applyNumberFormat="1" applyFont="1" applyFill="1" applyBorder="1" applyAlignment="1" applyProtection="1">
      <alignment horizontal="center" vertical="center"/>
      <protection hidden="1"/>
    </xf>
    <xf numFmtId="0" fontId="14" fillId="29" borderId="0" xfId="53" applyFont="1" applyFill="1" applyBorder="1" applyAlignment="1" applyProtection="1">
      <alignment horizontal="left" vertical="center"/>
      <protection hidden="1"/>
    </xf>
    <xf numFmtId="164" fontId="14" fillId="29" borderId="0" xfId="53" applyNumberFormat="1" applyFont="1" applyFill="1" applyBorder="1" applyAlignment="1" applyProtection="1">
      <alignment horizontal="center" vertical="center"/>
      <protection hidden="1"/>
    </xf>
    <xf numFmtId="0" fontId="42" fillId="29" borderId="0" xfId="47" applyFont="1" applyFill="1" applyProtection="1">
      <protection hidden="1"/>
    </xf>
    <xf numFmtId="0" fontId="42" fillId="29" borderId="0" xfId="47" applyFont="1" applyFill="1" applyBorder="1" applyAlignment="1" applyProtection="1">
      <protection hidden="1"/>
    </xf>
    <xf numFmtId="0" fontId="9" fillId="29" borderId="0" xfId="44" applyFont="1" applyFill="1" applyBorder="1" applyAlignment="1" applyProtection="1">
      <alignment vertical="center"/>
      <protection hidden="1"/>
    </xf>
    <xf numFmtId="0" fontId="12" fillId="29" borderId="0" xfId="44" applyFont="1" applyFill="1" applyAlignment="1" applyProtection="1">
      <alignment vertical="center"/>
      <protection hidden="1"/>
    </xf>
    <xf numFmtId="0" fontId="16" fillId="29" borderId="0" xfId="44" applyFont="1" applyFill="1" applyAlignment="1" applyProtection="1">
      <alignment horizontal="center" vertical="center"/>
      <protection hidden="1"/>
    </xf>
    <xf numFmtId="164" fontId="14" fillId="29" borderId="0" xfId="44" applyNumberFormat="1" applyFont="1" applyFill="1" applyBorder="1" applyAlignment="1" applyProtection="1">
      <alignment vertical="center"/>
      <protection hidden="1"/>
    </xf>
    <xf numFmtId="164" fontId="12" fillId="29" borderId="0" xfId="44" applyNumberFormat="1" applyFont="1" applyFill="1" applyBorder="1" applyAlignment="1" applyProtection="1">
      <alignment horizontal="left" vertical="center"/>
      <protection hidden="1"/>
    </xf>
    <xf numFmtId="0" fontId="19" fillId="26" borderId="19" xfId="0" applyFont="1" applyFill="1" applyBorder="1" applyAlignment="1" applyProtection="1">
      <alignment horizontal="centerContinuous"/>
      <protection hidden="1"/>
    </xf>
    <xf numFmtId="0" fontId="19" fillId="24" borderId="0" xfId="44" applyFont="1" applyFill="1" applyBorder="1" applyAlignment="1" applyProtection="1">
      <alignment horizontal="left" vertical="center"/>
      <protection hidden="1"/>
    </xf>
    <xf numFmtId="2" fontId="9" fillId="24" borderId="47" xfId="0" applyNumberFormat="1" applyFont="1" applyFill="1" applyBorder="1" applyAlignment="1" applyProtection="1">
      <alignment horizontal="center"/>
      <protection hidden="1"/>
    </xf>
    <xf numFmtId="0" fontId="14" fillId="24" borderId="0" xfId="0" applyFont="1" applyFill="1" applyBorder="1" applyAlignment="1" applyProtection="1">
      <alignment vertical="center"/>
      <protection hidden="1"/>
    </xf>
    <xf numFmtId="2" fontId="14" fillId="24" borderId="0" xfId="0" applyNumberFormat="1" applyFont="1" applyFill="1" applyBorder="1" applyAlignment="1" applyProtection="1">
      <alignment horizontal="center"/>
      <protection hidden="1"/>
    </xf>
    <xf numFmtId="0" fontId="18" fillId="24" borderId="0" xfId="44" applyFont="1" applyFill="1" applyBorder="1" applyAlignment="1" applyProtection="1">
      <alignment horizontal="right" vertical="center"/>
      <protection hidden="1"/>
    </xf>
    <xf numFmtId="0" fontId="19" fillId="24" borderId="0" xfId="0" applyFont="1" applyFill="1" applyProtection="1">
      <protection hidden="1"/>
    </xf>
    <xf numFmtId="0" fontId="18" fillId="24" borderId="0" xfId="0" applyFont="1" applyFill="1" applyBorder="1" applyProtection="1">
      <protection hidden="1"/>
    </xf>
    <xf numFmtId="166" fontId="15" fillId="24" borderId="0" xfId="44" applyNumberFormat="1" applyFont="1" applyFill="1" applyBorder="1" applyAlignment="1" applyProtection="1">
      <alignment vertical="center"/>
      <protection hidden="1"/>
    </xf>
    <xf numFmtId="0" fontId="19" fillId="26" borderId="0" xfId="0" applyFont="1" applyFill="1" applyAlignment="1" applyProtection="1">
      <alignment horizontal="centerContinuous"/>
      <protection hidden="1"/>
    </xf>
    <xf numFmtId="10" fontId="14" fillId="24" borderId="0" xfId="44" applyNumberFormat="1" applyFont="1" applyFill="1" applyBorder="1" applyAlignment="1" applyProtection="1">
      <alignment vertical="center"/>
      <protection hidden="1"/>
    </xf>
    <xf numFmtId="0" fontId="8" fillId="26" borderId="15" xfId="0" applyFont="1" applyFill="1" applyBorder="1" applyAlignment="1" applyProtection="1">
      <alignment horizontal="centerContinuous"/>
      <protection hidden="1"/>
    </xf>
    <xf numFmtId="10" fontId="38" fillId="24" borderId="0" xfId="44" applyNumberFormat="1" applyFont="1" applyFill="1" applyBorder="1" applyAlignment="1" applyProtection="1">
      <alignment horizontal="center" vertical="center"/>
      <protection hidden="1"/>
    </xf>
    <xf numFmtId="0" fontId="55" fillId="26" borderId="22" xfId="44" quotePrefix="1" applyFont="1" applyFill="1" applyBorder="1" applyAlignment="1" applyProtection="1">
      <alignment horizontal="center" vertical="center"/>
      <protection hidden="1"/>
    </xf>
    <xf numFmtId="0" fontId="30" fillId="26" borderId="23" xfId="44" applyFont="1" applyFill="1" applyBorder="1" applyAlignment="1" applyProtection="1">
      <alignment horizontal="left" vertical="center"/>
      <protection hidden="1"/>
    </xf>
    <xf numFmtId="0" fontId="30" fillId="26" borderId="23" xfId="0" applyFont="1" applyFill="1" applyBorder="1" applyProtection="1">
      <protection hidden="1"/>
    </xf>
    <xf numFmtId="0" fontId="55" fillId="26" borderId="23" xfId="0" applyFont="1" applyFill="1" applyBorder="1" applyProtection="1">
      <protection hidden="1"/>
    </xf>
    <xf numFmtId="0" fontId="14" fillId="24" borderId="17" xfId="44" quotePrefix="1" applyFont="1" applyFill="1" applyBorder="1" applyAlignment="1" applyProtection="1">
      <alignment horizontal="left" vertical="center"/>
      <protection hidden="1"/>
    </xf>
    <xf numFmtId="0" fontId="14" fillId="24" borderId="19" xfId="44" applyFont="1" applyFill="1" applyBorder="1" applyAlignment="1" applyProtection="1">
      <alignment horizontal="left" vertical="center"/>
      <protection hidden="1"/>
    </xf>
    <xf numFmtId="2" fontId="14" fillId="24" borderId="11" xfId="44" applyNumberFormat="1" applyFont="1" applyFill="1" applyBorder="1" applyAlignment="1" applyProtection="1">
      <alignment horizontal="center" vertical="center"/>
      <protection hidden="1"/>
    </xf>
    <xf numFmtId="0" fontId="9" fillId="24" borderId="49" xfId="0" applyFont="1" applyFill="1" applyBorder="1" applyProtection="1">
      <protection hidden="1"/>
    </xf>
    <xf numFmtId="2" fontId="14" fillId="24" borderId="9" xfId="0" applyNumberFormat="1" applyFont="1" applyFill="1" applyBorder="1" applyAlignment="1" applyProtection="1">
      <alignment horizontal="center"/>
      <protection hidden="1"/>
    </xf>
    <xf numFmtId="0" fontId="9" fillId="24" borderId="50" xfId="0" applyFont="1" applyFill="1" applyBorder="1" applyProtection="1">
      <protection hidden="1"/>
    </xf>
    <xf numFmtId="2" fontId="19" fillId="24" borderId="0" xfId="44" applyNumberFormat="1" applyFont="1" applyFill="1" applyBorder="1" applyAlignment="1" applyProtection="1">
      <alignment vertical="center"/>
      <protection hidden="1"/>
    </xf>
    <xf numFmtId="2" fontId="18" fillId="24" borderId="28" xfId="44" applyNumberFormat="1" applyFont="1" applyFill="1" applyBorder="1" applyAlignment="1" applyProtection="1">
      <alignment horizontal="right" vertical="center"/>
      <protection hidden="1"/>
    </xf>
    <xf numFmtId="2" fontId="9" fillId="24" borderId="8" xfId="0" applyNumberFormat="1" applyFont="1" applyFill="1" applyBorder="1" applyAlignment="1" applyProtection="1">
      <alignment horizontal="center"/>
      <protection hidden="1"/>
    </xf>
    <xf numFmtId="0" fontId="18" fillId="24" borderId="28" xfId="44" applyFont="1" applyFill="1" applyBorder="1" applyAlignment="1" applyProtection="1">
      <alignment horizontal="right" vertical="center"/>
      <protection hidden="1"/>
    </xf>
    <xf numFmtId="0" fontId="0" fillId="24" borderId="0" xfId="0" applyFill="1" applyBorder="1" applyAlignment="1" applyProtection="1">
      <alignment wrapText="1"/>
      <protection hidden="1"/>
    </xf>
    <xf numFmtId="0" fontId="24" fillId="24" borderId="0" xfId="44" applyFont="1" applyFill="1" applyBorder="1" applyAlignment="1" applyProtection="1">
      <alignment vertical="center"/>
      <protection hidden="1"/>
    </xf>
    <xf numFmtId="0" fontId="9" fillId="24" borderId="58" xfId="0" applyFont="1" applyFill="1" applyBorder="1" applyProtection="1">
      <protection hidden="1"/>
    </xf>
    <xf numFmtId="2" fontId="14" fillId="24" borderId="26" xfId="0" applyNumberFormat="1" applyFont="1" applyFill="1" applyBorder="1" applyAlignment="1" applyProtection="1">
      <alignment horizontal="center"/>
      <protection hidden="1"/>
    </xf>
    <xf numFmtId="2" fontId="14" fillId="24" borderId="21" xfId="0" applyNumberFormat="1" applyFont="1" applyFill="1" applyBorder="1" applyAlignment="1" applyProtection="1">
      <alignment horizontal="center"/>
      <protection hidden="1"/>
    </xf>
    <xf numFmtId="0" fontId="14" fillId="24" borderId="22" xfId="44" quotePrefix="1" applyFont="1" applyFill="1" applyBorder="1" applyAlignment="1" applyProtection="1">
      <alignment horizontal="left" vertical="center"/>
      <protection hidden="1"/>
    </xf>
    <xf numFmtId="0" fontId="14" fillId="24" borderId="23" xfId="44" applyFont="1" applyFill="1" applyBorder="1" applyAlignment="1" applyProtection="1">
      <alignment horizontal="left" vertical="center"/>
      <protection hidden="1"/>
    </xf>
    <xf numFmtId="0" fontId="9" fillId="24" borderId="52" xfId="0" applyFont="1" applyFill="1" applyBorder="1" applyProtection="1">
      <protection hidden="1"/>
    </xf>
    <xf numFmtId="2" fontId="9" fillId="24" borderId="26" xfId="0" applyNumberFormat="1" applyFont="1" applyFill="1" applyBorder="1" applyAlignment="1" applyProtection="1">
      <alignment horizontal="center"/>
      <protection hidden="1"/>
    </xf>
    <xf numFmtId="2" fontId="18" fillId="24" borderId="29" xfId="44" applyNumberFormat="1" applyFont="1" applyFill="1" applyBorder="1" applyAlignment="1" applyProtection="1">
      <alignment horizontal="right" vertical="center"/>
      <protection hidden="1"/>
    </xf>
    <xf numFmtId="2" fontId="9" fillId="24" borderId="21" xfId="0" applyNumberFormat="1" applyFont="1" applyFill="1" applyBorder="1" applyAlignment="1" applyProtection="1">
      <alignment horizontal="center"/>
      <protection hidden="1"/>
    </xf>
    <xf numFmtId="0" fontId="44" fillId="24" borderId="0" xfId="0" applyFont="1" applyFill="1" applyBorder="1" applyAlignment="1" applyProtection="1">
      <alignment vertical="center"/>
      <protection hidden="1"/>
    </xf>
    <xf numFmtId="2" fontId="55" fillId="26" borderId="22" xfId="44" quotePrefix="1" applyNumberFormat="1" applyFont="1" applyFill="1" applyBorder="1" applyAlignment="1" applyProtection="1">
      <alignment horizontal="center" vertical="center"/>
      <protection hidden="1"/>
    </xf>
    <xf numFmtId="0" fontId="99" fillId="24" borderId="0" xfId="44" applyFont="1" applyFill="1" applyBorder="1" applyAlignment="1" applyProtection="1">
      <alignment horizontal="left" vertical="center"/>
      <protection hidden="1"/>
    </xf>
    <xf numFmtId="0" fontId="100" fillId="24" borderId="0" xfId="0" applyFont="1" applyFill="1" applyBorder="1" applyAlignment="1" applyProtection="1">
      <alignment vertical="center"/>
      <protection hidden="1"/>
    </xf>
    <xf numFmtId="0" fontId="18" fillId="24" borderId="15" xfId="44" applyFont="1" applyFill="1" applyBorder="1" applyAlignment="1" applyProtection="1">
      <alignment horizontal="right" vertical="center"/>
      <protection hidden="1"/>
    </xf>
    <xf numFmtId="0" fontId="36" fillId="24" borderId="0" xfId="44" applyFont="1" applyFill="1" applyBorder="1" applyAlignment="1" applyProtection="1">
      <alignment vertical="center"/>
      <protection hidden="1"/>
    </xf>
    <xf numFmtId="0" fontId="25" fillId="24" borderId="0" xfId="44" applyFont="1" applyFill="1" applyBorder="1" applyAlignment="1" applyProtection="1">
      <alignment horizontal="right" vertical="center"/>
      <protection hidden="1"/>
    </xf>
    <xf numFmtId="0" fontId="18" fillId="24" borderId="42" xfId="44" applyFont="1" applyFill="1" applyBorder="1" applyAlignment="1" applyProtection="1">
      <alignment horizontal="right" vertical="center"/>
      <protection hidden="1"/>
    </xf>
    <xf numFmtId="0" fontId="18" fillId="24" borderId="48" xfId="0" applyFont="1" applyFill="1" applyBorder="1" applyProtection="1">
      <protection hidden="1"/>
    </xf>
    <xf numFmtId="0" fontId="15" fillId="24" borderId="0" xfId="0" applyFont="1" applyFill="1" applyProtection="1">
      <protection hidden="1"/>
    </xf>
    <xf numFmtId="2" fontId="9" fillId="24" borderId="25" xfId="0" applyNumberFormat="1" applyFont="1" applyFill="1" applyBorder="1" applyAlignment="1" applyProtection="1">
      <alignment horizontal="center"/>
      <protection hidden="1"/>
    </xf>
    <xf numFmtId="0" fontId="14" fillId="24" borderId="0" xfId="46" applyFont="1" applyFill="1" applyBorder="1" applyAlignment="1" applyProtection="1">
      <alignment vertical="center"/>
      <protection hidden="1"/>
    </xf>
    <xf numFmtId="2" fontId="14" fillId="24" borderId="0" xfId="0" applyNumberFormat="1" applyFont="1" applyFill="1" applyBorder="1" applyAlignment="1" applyProtection="1">
      <protection hidden="1"/>
    </xf>
    <xf numFmtId="49" fontId="14" fillId="24" borderId="0" xfId="44" applyNumberFormat="1" applyFont="1" applyFill="1" applyBorder="1" applyAlignment="1" applyProtection="1">
      <alignment vertical="center"/>
      <protection hidden="1"/>
    </xf>
    <xf numFmtId="0" fontId="18" fillId="24" borderId="29" xfId="44" applyFont="1" applyFill="1" applyBorder="1" applyAlignment="1" applyProtection="1">
      <alignment horizontal="right" vertical="center"/>
      <protection hidden="1"/>
    </xf>
    <xf numFmtId="0" fontId="37" fillId="24" borderId="0" xfId="0" applyFont="1" applyFill="1" applyAlignment="1" applyProtection="1">
      <protection hidden="1"/>
    </xf>
    <xf numFmtId="0" fontId="14" fillId="24" borderId="0" xfId="46" applyFont="1" applyFill="1" applyAlignment="1" applyProtection="1">
      <alignment horizontal="center" vertical="center"/>
      <protection hidden="1"/>
    </xf>
    <xf numFmtId="0" fontId="19" fillId="24" borderId="0" xfId="46" applyFont="1" applyFill="1" applyProtection="1">
      <protection hidden="1"/>
    </xf>
    <xf numFmtId="0" fontId="19" fillId="24" borderId="0" xfId="46" applyFont="1" applyFill="1" applyAlignment="1" applyProtection="1">
      <alignment horizontal="right"/>
      <protection hidden="1"/>
    </xf>
    <xf numFmtId="10" fontId="15" fillId="24" borderId="0" xfId="44" applyNumberFormat="1" applyFont="1" applyFill="1" applyBorder="1" applyAlignment="1" applyProtection="1">
      <alignment vertical="center"/>
      <protection hidden="1"/>
    </xf>
    <xf numFmtId="0" fontId="20" fillId="24" borderId="0" xfId="44" applyFont="1" applyFill="1" applyBorder="1" applyAlignment="1" applyProtection="1">
      <alignment horizontal="right" vertical="center"/>
      <protection hidden="1"/>
    </xf>
    <xf numFmtId="10" fontId="8" fillId="24" borderId="0" xfId="44" applyNumberFormat="1" applyFont="1" applyFill="1" applyBorder="1" applyAlignment="1" applyProtection="1">
      <alignment horizontal="center" vertical="center"/>
      <protection hidden="1"/>
    </xf>
    <xf numFmtId="0" fontId="21" fillId="24" borderId="0" xfId="44" applyFont="1" applyFill="1" applyBorder="1" applyAlignment="1" applyProtection="1">
      <alignment horizontal="right" vertical="center"/>
      <protection hidden="1"/>
    </xf>
    <xf numFmtId="0" fontId="25" fillId="24" borderId="0" xfId="44" applyFont="1" applyFill="1" applyBorder="1" applyAlignment="1" applyProtection="1">
      <alignment vertical="center"/>
      <protection hidden="1"/>
    </xf>
    <xf numFmtId="0" fontId="23" fillId="24" borderId="0" xfId="44" applyFont="1" applyFill="1" applyBorder="1" applyAlignment="1" applyProtection="1">
      <alignment vertical="center"/>
      <protection hidden="1"/>
    </xf>
    <xf numFmtId="0" fontId="8" fillId="24" borderId="0" xfId="44" applyFont="1" applyFill="1" applyBorder="1" applyAlignment="1" applyProtection="1">
      <alignment horizontal="right" vertical="center"/>
      <protection hidden="1"/>
    </xf>
    <xf numFmtId="10" fontId="19" fillId="24" borderId="0" xfId="44" applyNumberFormat="1" applyFont="1" applyFill="1" applyBorder="1" applyAlignment="1" applyProtection="1">
      <alignment horizontal="center" vertical="center"/>
      <protection hidden="1"/>
    </xf>
    <xf numFmtId="10" fontId="15" fillId="24" borderId="0" xfId="44" applyNumberFormat="1" applyFont="1" applyFill="1" applyBorder="1" applyAlignment="1" applyProtection="1">
      <alignment horizontal="center" vertical="center"/>
      <protection hidden="1"/>
    </xf>
    <xf numFmtId="2" fontId="30" fillId="24" borderId="0" xfId="44" applyNumberFormat="1" applyFont="1" applyFill="1" applyBorder="1" applyAlignment="1" applyProtection="1">
      <alignment horizontal="center" vertical="center"/>
      <protection hidden="1"/>
    </xf>
    <xf numFmtId="0" fontId="30" fillId="24" borderId="0" xfId="44" applyFont="1" applyFill="1" applyBorder="1" applyAlignment="1" applyProtection="1">
      <alignment horizontal="left" vertical="center"/>
      <protection hidden="1"/>
    </xf>
    <xf numFmtId="0" fontId="107" fillId="29" borderId="0" xfId="0" applyFont="1" applyFill="1" applyBorder="1" applyAlignment="1" applyProtection="1">
      <alignment wrapText="1"/>
      <protection hidden="1"/>
    </xf>
    <xf numFmtId="0" fontId="15" fillId="29" borderId="0" xfId="44" applyFont="1" applyFill="1" applyBorder="1" applyAlignment="1" applyProtection="1">
      <protection hidden="1"/>
    </xf>
    <xf numFmtId="0" fontId="109" fillId="29" borderId="0" xfId="44" applyFont="1" applyFill="1" applyBorder="1" applyAlignment="1" applyProtection="1">
      <alignment vertical="center"/>
      <protection hidden="1"/>
    </xf>
    <xf numFmtId="0" fontId="8" fillId="29" borderId="12" xfId="0" applyFont="1" applyFill="1" applyBorder="1" applyAlignment="1" applyProtection="1">
      <alignment horizontal="centerContinuous"/>
      <protection hidden="1"/>
    </xf>
    <xf numFmtId="0" fontId="19" fillId="29" borderId="13" xfId="0" applyFont="1" applyFill="1" applyBorder="1" applyAlignment="1" applyProtection="1">
      <alignment horizontal="centerContinuous"/>
      <protection hidden="1"/>
    </xf>
    <xf numFmtId="0" fontId="19" fillId="29" borderId="14" xfId="0" applyFont="1" applyFill="1" applyBorder="1" applyAlignment="1" applyProtection="1">
      <alignment horizontal="centerContinuous"/>
      <protection hidden="1"/>
    </xf>
    <xf numFmtId="0" fontId="8" fillId="29" borderId="17" xfId="0" applyFont="1" applyFill="1" applyBorder="1" applyAlignment="1" applyProtection="1">
      <alignment horizontal="centerContinuous"/>
      <protection hidden="1"/>
    </xf>
    <xf numFmtId="0" fontId="19" fillId="29" borderId="18" xfId="0" applyFont="1" applyFill="1" applyBorder="1" applyAlignment="1" applyProtection="1">
      <alignment horizontal="centerContinuous"/>
      <protection hidden="1"/>
    </xf>
    <xf numFmtId="0" fontId="19" fillId="29" borderId="19" xfId="0" applyFont="1" applyFill="1" applyBorder="1" applyAlignment="1" applyProtection="1">
      <alignment horizontal="centerContinuous"/>
      <protection hidden="1"/>
    </xf>
    <xf numFmtId="0" fontId="43" fillId="29" borderId="15" xfId="0" applyFont="1" applyFill="1" applyBorder="1" applyAlignment="1" applyProtection="1">
      <alignment horizontal="centerContinuous"/>
      <protection hidden="1"/>
    </xf>
    <xf numFmtId="0" fontId="43" fillId="29" borderId="0" xfId="0" applyFont="1" applyFill="1" applyBorder="1" applyAlignment="1" applyProtection="1">
      <alignment horizontal="centerContinuous"/>
      <protection hidden="1"/>
    </xf>
    <xf numFmtId="0" fontId="43" fillId="29" borderId="16" xfId="0" applyFont="1" applyFill="1" applyBorder="1" applyAlignment="1" applyProtection="1">
      <alignment horizontal="centerContinuous"/>
      <protection hidden="1"/>
    </xf>
    <xf numFmtId="0" fontId="43" fillId="29" borderId="27" xfId="0" applyFont="1" applyFill="1" applyBorder="1" applyAlignment="1" applyProtection="1">
      <alignment horizontal="center"/>
      <protection hidden="1"/>
    </xf>
    <xf numFmtId="0" fontId="37" fillId="29" borderId="42" xfId="0" applyFont="1" applyFill="1" applyBorder="1" applyProtection="1">
      <protection hidden="1"/>
    </xf>
    <xf numFmtId="0" fontId="37" fillId="29" borderId="38" xfId="0" applyFont="1" applyFill="1" applyBorder="1" applyProtection="1">
      <protection hidden="1"/>
    </xf>
    <xf numFmtId="0" fontId="37" fillId="29" borderId="31" xfId="0" applyFont="1" applyFill="1" applyBorder="1" applyProtection="1">
      <protection hidden="1"/>
    </xf>
    <xf numFmtId="0" fontId="37" fillId="29" borderId="32" xfId="0" applyFont="1" applyFill="1" applyBorder="1" applyProtection="1">
      <protection hidden="1"/>
    </xf>
    <xf numFmtId="0" fontId="9" fillId="29" borderId="14" xfId="0" applyFont="1" applyFill="1" applyBorder="1" applyAlignment="1" applyProtection="1">
      <alignment horizontal="center"/>
      <protection hidden="1"/>
    </xf>
    <xf numFmtId="0" fontId="9" fillId="29" borderId="20" xfId="0" applyFont="1" applyFill="1" applyBorder="1" applyAlignment="1" applyProtection="1">
      <alignment horizontal="center"/>
      <protection hidden="1"/>
    </xf>
    <xf numFmtId="0" fontId="37" fillId="29" borderId="28" xfId="0" applyFont="1" applyFill="1" applyBorder="1" applyProtection="1">
      <protection hidden="1"/>
    </xf>
    <xf numFmtId="0" fontId="37" fillId="29" borderId="39" xfId="0" applyFont="1" applyFill="1" applyBorder="1" applyProtection="1">
      <protection hidden="1"/>
    </xf>
    <xf numFmtId="0" fontId="37" fillId="29" borderId="5" xfId="0" applyFont="1" applyFill="1" applyBorder="1" applyProtection="1">
      <protection hidden="1"/>
    </xf>
    <xf numFmtId="0" fontId="37" fillId="29" borderId="34" xfId="0" applyFont="1" applyFill="1" applyBorder="1" applyProtection="1">
      <protection hidden="1"/>
    </xf>
    <xf numFmtId="166" fontId="9" fillId="29" borderId="48" xfId="0" applyNumberFormat="1" applyFont="1" applyFill="1" applyBorder="1" applyAlignment="1" applyProtection="1">
      <alignment horizontal="center"/>
      <protection hidden="1"/>
    </xf>
    <xf numFmtId="0" fontId="9" fillId="29" borderId="25" xfId="0" applyFont="1" applyFill="1" applyBorder="1" applyAlignment="1" applyProtection="1">
      <alignment horizontal="center"/>
      <protection hidden="1"/>
    </xf>
    <xf numFmtId="0" fontId="37" fillId="29" borderId="29" xfId="0" applyFont="1" applyFill="1" applyBorder="1" applyProtection="1">
      <protection hidden="1"/>
    </xf>
    <xf numFmtId="0" fontId="37" fillId="29" borderId="40" xfId="0" applyFont="1" applyFill="1" applyBorder="1" applyProtection="1">
      <protection hidden="1"/>
    </xf>
    <xf numFmtId="0" fontId="37" fillId="29" borderId="36" xfId="0" applyFont="1" applyFill="1" applyBorder="1" applyProtection="1">
      <protection hidden="1"/>
    </xf>
    <xf numFmtId="0" fontId="37" fillId="29" borderId="37" xfId="0" applyFont="1" applyFill="1" applyBorder="1" applyProtection="1">
      <protection hidden="1"/>
    </xf>
    <xf numFmtId="166" fontId="9" fillId="29" borderId="47" xfId="0" applyNumberFormat="1" applyFont="1" applyFill="1" applyBorder="1" applyAlignment="1" applyProtection="1">
      <alignment horizontal="center"/>
      <protection hidden="1"/>
    </xf>
    <xf numFmtId="0" fontId="9" fillId="29" borderId="21" xfId="0" applyFont="1" applyFill="1" applyBorder="1" applyAlignment="1" applyProtection="1">
      <alignment horizontal="center"/>
      <protection hidden="1"/>
    </xf>
    <xf numFmtId="166" fontId="9" fillId="29" borderId="25" xfId="0" applyNumberFormat="1" applyFont="1" applyFill="1" applyBorder="1" applyAlignment="1" applyProtection="1">
      <alignment horizontal="center"/>
      <protection hidden="1"/>
    </xf>
    <xf numFmtId="166" fontId="9" fillId="29" borderId="45" xfId="0" applyNumberFormat="1" applyFont="1" applyFill="1" applyBorder="1" applyAlignment="1" applyProtection="1">
      <alignment horizontal="center"/>
      <protection hidden="1"/>
    </xf>
    <xf numFmtId="166" fontId="9" fillId="29" borderId="8" xfId="0" applyNumberFormat="1" applyFont="1" applyFill="1" applyBorder="1" applyAlignment="1" applyProtection="1">
      <alignment horizontal="center"/>
      <protection hidden="1"/>
    </xf>
    <xf numFmtId="166" fontId="9" fillId="29" borderId="47" xfId="0" quotePrefix="1" applyNumberFormat="1" applyFont="1" applyFill="1" applyBorder="1" applyAlignment="1" applyProtection="1">
      <alignment horizontal="center"/>
      <protection hidden="1"/>
    </xf>
    <xf numFmtId="166" fontId="9" fillId="29" borderId="21" xfId="0" applyNumberFormat="1" applyFont="1" applyFill="1" applyBorder="1" applyAlignment="1" applyProtection="1">
      <alignment horizontal="center"/>
      <protection hidden="1"/>
    </xf>
    <xf numFmtId="2" fontId="9" fillId="29" borderId="47" xfId="0" applyNumberFormat="1" applyFont="1" applyFill="1" applyBorder="1" applyAlignment="1" applyProtection="1">
      <alignment horizontal="center"/>
      <protection hidden="1"/>
    </xf>
    <xf numFmtId="0" fontId="37" fillId="29" borderId="22" xfId="0" applyFont="1" applyFill="1" applyBorder="1" applyProtection="1">
      <protection hidden="1"/>
    </xf>
    <xf numFmtId="0" fontId="37" fillId="29" borderId="23" xfId="0" applyFont="1" applyFill="1" applyBorder="1" applyProtection="1">
      <protection hidden="1"/>
    </xf>
    <xf numFmtId="0" fontId="37" fillId="29" borderId="24" xfId="0" applyFont="1" applyFill="1" applyBorder="1" applyProtection="1">
      <protection hidden="1"/>
    </xf>
    <xf numFmtId="0" fontId="9" fillId="29" borderId="24" xfId="0" applyFont="1" applyFill="1" applyBorder="1" applyAlignment="1" applyProtection="1">
      <alignment horizontal="center"/>
      <protection hidden="1"/>
    </xf>
    <xf numFmtId="0" fontId="9" fillId="29" borderId="10" xfId="0" applyFont="1" applyFill="1" applyBorder="1" applyAlignment="1" applyProtection="1">
      <alignment horizontal="center"/>
      <protection hidden="1"/>
    </xf>
    <xf numFmtId="166" fontId="9" fillId="29" borderId="24" xfId="0" applyNumberFormat="1" applyFont="1" applyFill="1" applyBorder="1" applyAlignment="1" applyProtection="1">
      <alignment horizontal="center"/>
      <protection hidden="1"/>
    </xf>
    <xf numFmtId="0" fontId="37" fillId="29" borderId="0" xfId="0" applyFont="1" applyFill="1" applyProtection="1">
      <protection hidden="1"/>
    </xf>
    <xf numFmtId="0" fontId="56" fillId="29" borderId="0" xfId="0" applyFont="1" applyFill="1" applyProtection="1">
      <protection hidden="1"/>
    </xf>
    <xf numFmtId="0" fontId="18" fillId="29" borderId="0" xfId="44" applyFont="1" applyFill="1" applyBorder="1" applyAlignment="1" applyProtection="1">
      <alignment horizontal="right" vertical="center"/>
      <protection hidden="1"/>
    </xf>
    <xf numFmtId="0" fontId="19" fillId="29" borderId="0" xfId="0" applyFont="1" applyFill="1" applyProtection="1">
      <protection hidden="1"/>
    </xf>
    <xf numFmtId="0" fontId="18" fillId="29" borderId="0" xfId="44" applyFont="1" applyFill="1" applyAlignment="1" applyProtection="1">
      <alignment vertical="center"/>
      <protection hidden="1"/>
    </xf>
    <xf numFmtId="0" fontId="18" fillId="29" borderId="0" xfId="0" applyFont="1" applyFill="1" applyBorder="1" applyProtection="1">
      <protection hidden="1"/>
    </xf>
    <xf numFmtId="2" fontId="13" fillId="29" borderId="0" xfId="44" applyNumberFormat="1" applyFont="1" applyFill="1" applyBorder="1" applyAlignment="1" applyProtection="1">
      <alignment horizontal="center" vertical="center"/>
      <protection hidden="1"/>
    </xf>
    <xf numFmtId="2" fontId="42" fillId="29" borderId="0" xfId="44" applyNumberFormat="1" applyFont="1" applyFill="1" applyBorder="1" applyAlignment="1" applyProtection="1">
      <alignment horizontal="center" vertical="center"/>
      <protection hidden="1"/>
    </xf>
    <xf numFmtId="0" fontId="10" fillId="29" borderId="0" xfId="44" applyFont="1" applyFill="1" applyAlignment="1" applyProtection="1">
      <alignment vertical="center"/>
      <protection hidden="1"/>
    </xf>
    <xf numFmtId="0" fontId="6" fillId="29" borderId="16" xfId="38" applyFill="1" applyBorder="1" applyAlignment="1" applyProtection="1">
      <alignment vertical="center"/>
      <protection hidden="1"/>
    </xf>
    <xf numFmtId="0" fontId="12" fillId="29" borderId="0" xfId="38" applyFont="1" applyFill="1" applyAlignment="1" applyProtection="1">
      <alignment vertical="center"/>
      <protection hidden="1"/>
    </xf>
    <xf numFmtId="0" fontId="15" fillId="29" borderId="0" xfId="46" applyFont="1" applyFill="1" applyBorder="1" applyAlignment="1" applyProtection="1">
      <alignment vertical="top"/>
      <protection hidden="1"/>
    </xf>
    <xf numFmtId="0" fontId="15" fillId="29" borderId="0" xfId="44" applyNumberFormat="1" applyFont="1" applyFill="1" applyBorder="1" applyAlignment="1" applyProtection="1">
      <alignment vertical="center"/>
      <protection hidden="1"/>
    </xf>
    <xf numFmtId="0" fontId="15" fillId="29" borderId="0" xfId="46" applyFont="1" applyFill="1" applyBorder="1" applyAlignment="1" applyProtection="1">
      <protection hidden="1"/>
    </xf>
    <xf numFmtId="0" fontId="15" fillId="29" borderId="0" xfId="46" applyNumberFormat="1" applyFont="1" applyFill="1" applyBorder="1" applyAlignment="1" applyProtection="1">
      <alignment vertical="top" wrapText="1"/>
      <protection hidden="1"/>
    </xf>
    <xf numFmtId="0" fontId="15" fillId="29" borderId="0" xfId="46" applyFont="1" applyFill="1" applyBorder="1" applyAlignment="1" applyProtection="1">
      <alignment vertical="top" wrapText="1"/>
      <protection hidden="1"/>
    </xf>
    <xf numFmtId="166" fontId="15" fillId="29" borderId="0" xfId="44" applyNumberFormat="1" applyFont="1" applyFill="1" applyBorder="1" applyAlignment="1" applyProtection="1">
      <alignment vertical="center"/>
      <protection hidden="1"/>
    </xf>
    <xf numFmtId="2" fontId="18" fillId="29" borderId="0" xfId="44" applyNumberFormat="1" applyFont="1" applyFill="1" applyBorder="1" applyAlignment="1" applyProtection="1">
      <alignment vertical="center"/>
      <protection hidden="1"/>
    </xf>
    <xf numFmtId="0" fontId="17" fillId="29" borderId="0" xfId="44" applyFont="1" applyFill="1" applyAlignment="1" applyProtection="1">
      <alignment horizontal="right" vertical="center"/>
      <protection hidden="1"/>
    </xf>
    <xf numFmtId="0" fontId="18" fillId="29" borderId="0" xfId="46" applyFont="1" applyFill="1" applyBorder="1" applyAlignment="1" applyProtection="1">
      <protection hidden="1"/>
    </xf>
    <xf numFmtId="4" fontId="15" fillId="29" borderId="0" xfId="46" applyNumberFormat="1" applyFont="1" applyFill="1" applyBorder="1" applyAlignment="1" applyProtection="1">
      <protection hidden="1"/>
    </xf>
    <xf numFmtId="2" fontId="15" fillId="29" borderId="0" xfId="46" applyNumberFormat="1" applyFont="1" applyFill="1" applyBorder="1" applyAlignment="1" applyProtection="1">
      <protection hidden="1"/>
    </xf>
    <xf numFmtId="166" fontId="15" fillId="29" borderId="0" xfId="46" applyNumberFormat="1" applyFont="1" applyFill="1" applyBorder="1" applyAlignment="1" applyProtection="1">
      <protection hidden="1"/>
    </xf>
    <xf numFmtId="164" fontId="15" fillId="29" borderId="0" xfId="46" applyNumberFormat="1" applyFont="1" applyFill="1" applyBorder="1" applyAlignment="1" applyProtection="1">
      <protection hidden="1"/>
    </xf>
    <xf numFmtId="0" fontId="16" fillId="29" borderId="0" xfId="44" applyFont="1" applyFill="1" applyBorder="1" applyAlignment="1" applyProtection="1">
      <alignment horizontal="center" vertical="center"/>
      <protection hidden="1"/>
    </xf>
    <xf numFmtId="0" fontId="2" fillId="29" borderId="0" xfId="44" applyFont="1" applyFill="1" applyBorder="1" applyAlignment="1" applyProtection="1">
      <alignment horizontal="right" vertical="center"/>
      <protection hidden="1"/>
    </xf>
    <xf numFmtId="0" fontId="2" fillId="29" borderId="0" xfId="44" applyFont="1" applyFill="1" applyBorder="1" applyAlignment="1" applyProtection="1">
      <alignment vertical="center"/>
      <protection hidden="1"/>
    </xf>
    <xf numFmtId="0" fontId="2" fillId="29" borderId="0" xfId="44" applyFont="1" applyFill="1" applyBorder="1" applyAlignment="1" applyProtection="1">
      <alignment horizontal="left" vertical="center"/>
      <protection hidden="1"/>
    </xf>
    <xf numFmtId="49" fontId="10" fillId="24" borderId="18" xfId="43" applyNumberFormat="1" applyFont="1" applyFill="1" applyBorder="1" applyAlignment="1" applyProtection="1">
      <alignment horizontal="left" vertical="center"/>
      <protection locked="0"/>
    </xf>
    <xf numFmtId="0" fontId="9" fillId="29" borderId="0" xfId="44" applyFont="1" applyFill="1" applyBorder="1" applyAlignment="1" applyProtection="1">
      <alignment horizontal="right" vertical="center"/>
      <protection hidden="1"/>
    </xf>
    <xf numFmtId="0" fontId="10" fillId="29" borderId="0" xfId="44" applyFont="1" applyFill="1" applyBorder="1" applyAlignment="1" applyProtection="1">
      <alignment horizontal="center" vertical="center"/>
      <protection hidden="1"/>
    </xf>
    <xf numFmtId="0" fontId="6" fillId="29" borderId="0" xfId="45" applyFont="1" applyFill="1" applyBorder="1" applyAlignment="1" applyProtection="1">
      <alignment vertical="center"/>
      <protection hidden="1"/>
    </xf>
    <xf numFmtId="0" fontId="10" fillId="29" borderId="0" xfId="44" applyFont="1" applyFill="1" applyBorder="1" applyAlignment="1" applyProtection="1">
      <alignment vertical="center"/>
      <protection hidden="1"/>
    </xf>
    <xf numFmtId="10" fontId="10" fillId="29" borderId="0" xfId="44" applyNumberFormat="1" applyFont="1" applyFill="1" applyBorder="1" applyAlignment="1" applyProtection="1">
      <alignment vertical="center"/>
      <protection hidden="1"/>
    </xf>
    <xf numFmtId="10" fontId="38" fillId="29" borderId="0" xfId="44" applyNumberFormat="1" applyFont="1" applyFill="1" applyBorder="1" applyAlignment="1" applyProtection="1">
      <alignment horizontal="center" vertical="center"/>
      <protection hidden="1"/>
    </xf>
    <xf numFmtId="0" fontId="10" fillId="29" borderId="12" xfId="44" applyFont="1" applyFill="1" applyBorder="1" applyAlignment="1" applyProtection="1">
      <alignment horizontal="centerContinuous" vertical="center"/>
      <protection hidden="1"/>
    </xf>
    <xf numFmtId="0" fontId="10" fillId="29" borderId="13" xfId="44" applyFont="1" applyFill="1" applyBorder="1" applyAlignment="1" applyProtection="1">
      <alignment horizontal="centerContinuous" vertical="center"/>
      <protection hidden="1"/>
    </xf>
    <xf numFmtId="0" fontId="10" fillId="29" borderId="14" xfId="44" applyFont="1" applyFill="1" applyBorder="1" applyAlignment="1" applyProtection="1">
      <alignment horizontal="centerContinuous" vertical="center"/>
      <protection hidden="1"/>
    </xf>
    <xf numFmtId="0" fontId="10" fillId="29" borderId="17" xfId="44" applyFont="1" applyFill="1" applyBorder="1" applyAlignment="1" applyProtection="1">
      <alignment horizontal="centerContinuous" vertical="center"/>
      <protection hidden="1"/>
    </xf>
    <xf numFmtId="0" fontId="10" fillId="29" borderId="18" xfId="44" applyFont="1" applyFill="1" applyBorder="1" applyAlignment="1" applyProtection="1">
      <alignment horizontal="centerContinuous" vertical="center"/>
      <protection hidden="1"/>
    </xf>
    <xf numFmtId="0" fontId="10" fillId="29" borderId="19" xfId="44" applyFont="1" applyFill="1" applyBorder="1" applyAlignment="1" applyProtection="1">
      <alignment horizontal="centerContinuous" vertical="center"/>
      <protection hidden="1"/>
    </xf>
    <xf numFmtId="10" fontId="10" fillId="29" borderId="20" xfId="44" applyNumberFormat="1" applyFont="1" applyFill="1" applyBorder="1" applyAlignment="1" applyProtection="1">
      <alignment horizontal="center" vertical="center"/>
      <protection hidden="1"/>
    </xf>
    <xf numFmtId="0" fontId="10" fillId="29" borderId="20" xfId="44" applyFont="1" applyFill="1" applyBorder="1" applyAlignment="1" applyProtection="1">
      <alignment horizontal="center" vertical="center"/>
      <protection hidden="1"/>
    </xf>
    <xf numFmtId="2" fontId="10" fillId="29" borderId="11" xfId="44" applyNumberFormat="1" applyFont="1" applyFill="1" applyBorder="1" applyAlignment="1" applyProtection="1">
      <alignment horizontal="center" vertical="center"/>
      <protection hidden="1"/>
    </xf>
    <xf numFmtId="2" fontId="10" fillId="29" borderId="9" xfId="44" applyNumberFormat="1" applyFont="1" applyFill="1" applyBorder="1" applyAlignment="1" applyProtection="1">
      <alignment horizontal="center" vertical="center"/>
      <protection hidden="1"/>
    </xf>
    <xf numFmtId="2" fontId="10" fillId="29" borderId="0" xfId="44" applyNumberFormat="1" applyFont="1" applyFill="1" applyBorder="1" applyAlignment="1" applyProtection="1">
      <alignment horizontal="center" vertical="center"/>
      <protection hidden="1"/>
    </xf>
    <xf numFmtId="0" fontId="10" fillId="29" borderId="42" xfId="44" applyFont="1" applyFill="1" applyBorder="1" applyAlignment="1" applyProtection="1">
      <alignment vertical="center"/>
      <protection hidden="1"/>
    </xf>
    <xf numFmtId="0" fontId="9" fillId="29" borderId="46" xfId="44" applyFont="1" applyFill="1" applyBorder="1" applyAlignment="1" applyProtection="1">
      <alignment vertical="center"/>
      <protection hidden="1"/>
    </xf>
    <xf numFmtId="166" fontId="10" fillId="29" borderId="9" xfId="44" applyNumberFormat="1" applyFont="1" applyFill="1" applyBorder="1" applyAlignment="1" applyProtection="1">
      <alignment horizontal="center" vertical="center"/>
      <protection hidden="1"/>
    </xf>
    <xf numFmtId="2" fontId="10" fillId="29" borderId="0" xfId="44" applyNumberFormat="1" applyFont="1" applyFill="1" applyBorder="1" applyAlignment="1" applyProtection="1">
      <alignment vertical="center"/>
      <protection hidden="1"/>
    </xf>
    <xf numFmtId="0" fontId="10" fillId="29" borderId="0" xfId="44" applyFont="1" applyFill="1" applyBorder="1" applyAlignment="1" applyProtection="1">
      <alignment horizontal="right" vertical="center"/>
      <protection hidden="1"/>
    </xf>
    <xf numFmtId="2" fontId="10" fillId="29" borderId="8" xfId="44" applyNumberFormat="1" applyFont="1" applyFill="1" applyBorder="1" applyAlignment="1" applyProtection="1">
      <alignment horizontal="center" vertical="center"/>
      <protection hidden="1"/>
    </xf>
    <xf numFmtId="2" fontId="10" fillId="29" borderId="0" xfId="44" applyNumberFormat="1" applyFont="1" applyFill="1" applyAlignment="1" applyProtection="1">
      <alignment horizontal="center" vertical="center"/>
      <protection hidden="1"/>
    </xf>
    <xf numFmtId="0" fontId="10" fillId="29" borderId="29" xfId="44" applyFont="1" applyFill="1" applyBorder="1" applyAlignment="1" applyProtection="1">
      <alignment vertical="center"/>
      <protection hidden="1"/>
    </xf>
    <xf numFmtId="0" fontId="9" fillId="29" borderId="47" xfId="44" applyFont="1" applyFill="1" applyBorder="1" applyAlignment="1" applyProtection="1">
      <alignment vertical="center"/>
      <protection hidden="1"/>
    </xf>
    <xf numFmtId="166" fontId="10" fillId="29" borderId="21" xfId="44" applyNumberFormat="1" applyFont="1" applyFill="1" applyBorder="1" applyAlignment="1" applyProtection="1">
      <alignment horizontal="center" vertical="center"/>
      <protection hidden="1"/>
    </xf>
    <xf numFmtId="164" fontId="10" fillId="29" borderId="0" xfId="44" applyNumberFormat="1" applyFont="1" applyFill="1" applyBorder="1" applyAlignment="1" applyProtection="1">
      <alignment horizontal="center" vertical="center"/>
      <protection hidden="1"/>
    </xf>
    <xf numFmtId="0" fontId="10" fillId="29" borderId="0" xfId="0" applyFont="1" applyFill="1" applyBorder="1" applyAlignment="1" applyProtection="1">
      <alignment horizontal="center"/>
      <protection hidden="1"/>
    </xf>
    <xf numFmtId="2" fontId="10" fillId="29" borderId="21" xfId="44" applyNumberFormat="1" applyFont="1" applyFill="1" applyBorder="1" applyAlignment="1" applyProtection="1">
      <alignment horizontal="center" vertical="center"/>
      <protection hidden="1"/>
    </xf>
    <xf numFmtId="0" fontId="10" fillId="29" borderId="0" xfId="44" applyFont="1" applyFill="1" applyAlignment="1" applyProtection="1">
      <alignment horizontal="center" vertical="center"/>
      <protection hidden="1"/>
    </xf>
    <xf numFmtId="49" fontId="10" fillId="29" borderId="28" xfId="0" applyNumberFormat="1" applyFont="1" applyFill="1" applyBorder="1" applyProtection="1">
      <protection hidden="1"/>
    </xf>
    <xf numFmtId="0" fontId="9" fillId="29" borderId="45" xfId="0" applyFont="1" applyFill="1" applyBorder="1" applyProtection="1">
      <protection hidden="1"/>
    </xf>
    <xf numFmtId="166" fontId="10" fillId="29" borderId="8" xfId="0" applyNumberFormat="1" applyFont="1" applyFill="1" applyBorder="1" applyAlignment="1" applyProtection="1">
      <alignment horizontal="center"/>
      <protection hidden="1"/>
    </xf>
    <xf numFmtId="49" fontId="10" fillId="29" borderId="29" xfId="0" applyNumberFormat="1" applyFont="1" applyFill="1" applyBorder="1" applyProtection="1">
      <protection hidden="1"/>
    </xf>
    <xf numFmtId="0" fontId="9" fillId="29" borderId="47" xfId="0" applyFont="1" applyFill="1" applyBorder="1" applyProtection="1">
      <protection hidden="1"/>
    </xf>
    <xf numFmtId="166" fontId="10" fillId="29" borderId="21" xfId="0" applyNumberFormat="1" applyFont="1" applyFill="1" applyBorder="1" applyAlignment="1" applyProtection="1">
      <alignment horizontal="center"/>
      <protection hidden="1"/>
    </xf>
    <xf numFmtId="49" fontId="10" fillId="29" borderId="42" xfId="0" applyNumberFormat="1" applyFont="1" applyFill="1" applyBorder="1" applyProtection="1">
      <protection hidden="1"/>
    </xf>
    <xf numFmtId="0" fontId="9" fillId="29" borderId="46" xfId="0" applyFont="1" applyFill="1" applyBorder="1" applyProtection="1">
      <protection hidden="1"/>
    </xf>
    <xf numFmtId="166" fontId="10" fillId="29" borderId="9" xfId="0" applyNumberFormat="1" applyFont="1" applyFill="1" applyBorder="1" applyAlignment="1" applyProtection="1">
      <alignment horizontal="center"/>
      <protection hidden="1"/>
    </xf>
    <xf numFmtId="0" fontId="10" fillId="29" borderId="0" xfId="0" applyFont="1" applyFill="1" applyBorder="1" applyAlignment="1" applyProtection="1">
      <protection hidden="1"/>
    </xf>
    <xf numFmtId="0" fontId="10" fillId="29" borderId="22" xfId="44" applyFont="1" applyFill="1" applyBorder="1" applyAlignment="1" applyProtection="1">
      <alignment vertical="center"/>
      <protection hidden="1"/>
    </xf>
    <xf numFmtId="0" fontId="9" fillId="29" borderId="24" xfId="44" applyFont="1" applyFill="1" applyBorder="1" applyAlignment="1" applyProtection="1">
      <alignment vertical="center"/>
      <protection hidden="1"/>
    </xf>
    <xf numFmtId="166" fontId="10" fillId="29" borderId="10" xfId="44" applyNumberFormat="1" applyFont="1" applyFill="1" applyBorder="1" applyAlignment="1" applyProtection="1">
      <alignment horizontal="center" vertical="center"/>
      <protection hidden="1"/>
    </xf>
    <xf numFmtId="0" fontId="10" fillId="29" borderId="0" xfId="44" applyFont="1" applyFill="1" applyAlignment="1" applyProtection="1">
      <alignment horizontal="right" vertical="center"/>
      <protection hidden="1"/>
    </xf>
    <xf numFmtId="0" fontId="10" fillId="29" borderId="22" xfId="0" applyFont="1" applyFill="1" applyBorder="1" applyProtection="1">
      <protection hidden="1"/>
    </xf>
    <xf numFmtId="0" fontId="9" fillId="29" borderId="24" xfId="0" applyFont="1" applyFill="1" applyBorder="1" applyProtection="1">
      <protection hidden="1"/>
    </xf>
    <xf numFmtId="166" fontId="10" fillId="29" borderId="10" xfId="0" applyNumberFormat="1" applyFont="1" applyFill="1" applyBorder="1" applyAlignment="1" applyProtection="1">
      <alignment horizontal="center"/>
      <protection hidden="1"/>
    </xf>
    <xf numFmtId="0" fontId="10" fillId="29" borderId="42" xfId="0" applyFont="1" applyFill="1" applyBorder="1" applyProtection="1">
      <protection hidden="1"/>
    </xf>
    <xf numFmtId="0" fontId="44" fillId="29" borderId="0" xfId="0" applyFont="1" applyFill="1" applyBorder="1" applyAlignment="1" applyProtection="1">
      <alignment vertical="center"/>
      <protection hidden="1"/>
    </xf>
    <xf numFmtId="0" fontId="10" fillId="29" borderId="0" xfId="0" applyFont="1" applyFill="1" applyBorder="1" applyProtection="1">
      <protection hidden="1"/>
    </xf>
    <xf numFmtId="0" fontId="100" fillId="29" borderId="0" xfId="0" applyFont="1" applyFill="1" applyBorder="1" applyAlignment="1" applyProtection="1">
      <alignment vertical="center"/>
      <protection hidden="1"/>
    </xf>
    <xf numFmtId="0" fontId="10" fillId="29" borderId="23" xfId="44" applyFont="1" applyFill="1" applyBorder="1" applyAlignment="1" applyProtection="1">
      <alignment horizontal="centerContinuous" vertical="center"/>
      <protection hidden="1"/>
    </xf>
    <xf numFmtId="164" fontId="12" fillId="29" borderId="23" xfId="44" applyNumberFormat="1" applyFont="1" applyFill="1" applyBorder="1" applyAlignment="1" applyProtection="1">
      <alignment horizontal="centerContinuous" vertical="center"/>
      <protection hidden="1"/>
    </xf>
    <xf numFmtId="0" fontId="10" fillId="29" borderId="24" xfId="44" applyFont="1" applyFill="1" applyBorder="1" applyAlignment="1" applyProtection="1">
      <alignment horizontal="centerContinuous" vertical="center"/>
      <protection hidden="1"/>
    </xf>
    <xf numFmtId="0" fontId="10" fillId="29" borderId="20" xfId="44" applyFont="1" applyFill="1" applyBorder="1" applyAlignment="1" applyProtection="1">
      <alignment vertical="center"/>
      <protection hidden="1"/>
    </xf>
    <xf numFmtId="0" fontId="10" fillId="29" borderId="28" xfId="44" applyFont="1" applyFill="1" applyBorder="1" applyAlignment="1" applyProtection="1">
      <alignment vertical="center"/>
      <protection hidden="1"/>
    </xf>
    <xf numFmtId="0" fontId="9" fillId="29" borderId="45" xfId="44" applyFont="1" applyFill="1" applyBorder="1" applyAlignment="1" applyProtection="1">
      <alignment vertical="center"/>
      <protection hidden="1"/>
    </xf>
    <xf numFmtId="166" fontId="10" fillId="29" borderId="8" xfId="44" applyNumberFormat="1" applyFont="1" applyFill="1" applyBorder="1" applyAlignment="1" applyProtection="1">
      <alignment horizontal="center" vertical="center"/>
      <protection hidden="1"/>
    </xf>
    <xf numFmtId="0" fontId="10" fillId="29" borderId="11" xfId="44" applyFont="1" applyFill="1" applyBorder="1" applyAlignment="1" applyProtection="1">
      <alignment horizontal="center" vertical="center"/>
      <protection hidden="1"/>
    </xf>
    <xf numFmtId="0" fontId="38" fillId="29" borderId="24" xfId="44" applyFont="1" applyFill="1" applyBorder="1" applyAlignment="1" applyProtection="1">
      <alignment horizontal="center" vertical="center"/>
      <protection hidden="1"/>
    </xf>
    <xf numFmtId="0" fontId="38" fillId="29" borderId="10" xfId="44" applyFont="1" applyFill="1" applyBorder="1" applyAlignment="1" applyProtection="1">
      <alignment horizontal="center" vertical="center"/>
      <protection hidden="1"/>
    </xf>
    <xf numFmtId="0" fontId="10" fillId="29" borderId="29" xfId="0" applyFont="1" applyFill="1" applyBorder="1" applyProtection="1">
      <protection hidden="1"/>
    </xf>
    <xf numFmtId="0" fontId="10" fillId="29" borderId="9" xfId="44" applyFont="1" applyFill="1" applyBorder="1" applyAlignment="1" applyProtection="1">
      <alignment horizontal="center" vertical="center"/>
      <protection hidden="1"/>
    </xf>
    <xf numFmtId="0" fontId="10" fillId="29" borderId="0" xfId="0" applyFont="1" applyFill="1" applyBorder="1" applyAlignment="1" applyProtection="1">
      <alignment vertical="center"/>
      <protection hidden="1"/>
    </xf>
    <xf numFmtId="49" fontId="10" fillId="29" borderId="0" xfId="44" applyNumberFormat="1" applyFont="1" applyFill="1" applyAlignment="1" applyProtection="1">
      <alignment horizontal="center" vertical="center"/>
      <protection hidden="1"/>
    </xf>
    <xf numFmtId="0" fontId="10" fillId="29" borderId="8" xfId="44" applyFont="1" applyFill="1" applyBorder="1" applyAlignment="1" applyProtection="1">
      <alignment horizontal="center" vertical="center"/>
      <protection hidden="1"/>
    </xf>
    <xf numFmtId="0" fontId="10" fillId="29" borderId="0" xfId="44" applyFont="1" applyFill="1" applyBorder="1" applyAlignment="1" applyProtection="1">
      <alignment horizontal="left" vertical="center"/>
      <protection hidden="1"/>
    </xf>
    <xf numFmtId="0" fontId="10" fillId="29" borderId="21" xfId="44" applyFont="1" applyFill="1" applyBorder="1" applyAlignment="1" applyProtection="1">
      <alignment horizontal="center" vertical="center"/>
      <protection hidden="1"/>
    </xf>
    <xf numFmtId="2" fontId="10" fillId="29" borderId="0" xfId="0" applyNumberFormat="1" applyFont="1" applyFill="1" applyBorder="1" applyAlignment="1" applyProtection="1">
      <alignment horizontal="center"/>
      <protection hidden="1"/>
    </xf>
    <xf numFmtId="0" fontId="10" fillId="29" borderId="0" xfId="44" applyFont="1" applyFill="1" applyAlignment="1" applyProtection="1">
      <alignment horizontal="left" vertical="center"/>
      <protection hidden="1"/>
    </xf>
    <xf numFmtId="0" fontId="10" fillId="29" borderId="0" xfId="44" applyFont="1" applyFill="1" applyBorder="1" applyAlignment="1" applyProtection="1">
      <alignment horizontal="centerContinuous" vertical="center"/>
      <protection hidden="1"/>
    </xf>
    <xf numFmtId="49" fontId="10" fillId="29" borderId="0" xfId="44" applyNumberFormat="1" applyFont="1" applyFill="1" applyBorder="1" applyAlignment="1" applyProtection="1">
      <alignment horizontal="left" vertical="center"/>
      <protection hidden="1"/>
    </xf>
    <xf numFmtId="0" fontId="10" fillId="29" borderId="0" xfId="46" applyFont="1" applyFill="1" applyAlignment="1" applyProtection="1">
      <alignment horizontal="center" vertical="center"/>
      <protection hidden="1"/>
    </xf>
    <xf numFmtId="49" fontId="10" fillId="29" borderId="0" xfId="0" applyNumberFormat="1" applyFont="1" applyFill="1" applyBorder="1" applyProtection="1">
      <protection hidden="1"/>
    </xf>
    <xf numFmtId="0" fontId="10" fillId="29" borderId="0" xfId="0" applyFont="1" applyFill="1" applyBorder="1" applyAlignment="1" applyProtection="1">
      <alignment horizontal="centerContinuous"/>
      <protection hidden="1"/>
    </xf>
    <xf numFmtId="0" fontId="10" fillId="29" borderId="0" xfId="0" quotePrefix="1" applyFont="1" applyFill="1" applyBorder="1" applyProtection="1">
      <protection hidden="1"/>
    </xf>
    <xf numFmtId="164" fontId="10" fillId="29" borderId="0" xfId="44" applyNumberFormat="1" applyFont="1" applyFill="1" applyAlignment="1" applyProtection="1">
      <alignment horizontal="center" vertical="center"/>
      <protection hidden="1"/>
    </xf>
    <xf numFmtId="0" fontId="6" fillId="29" borderId="0" xfId="44" applyFont="1" applyFill="1" applyAlignment="1" applyProtection="1">
      <alignment vertical="center"/>
      <protection hidden="1"/>
    </xf>
    <xf numFmtId="0" fontId="2" fillId="29" borderId="0" xfId="46" applyFont="1" applyFill="1" applyProtection="1">
      <protection hidden="1"/>
    </xf>
    <xf numFmtId="0" fontId="2" fillId="29" borderId="0" xfId="46" applyFont="1" applyFill="1" applyBorder="1" applyAlignment="1" applyProtection="1">
      <protection hidden="1"/>
    </xf>
    <xf numFmtId="0" fontId="2" fillId="29" borderId="0" xfId="46" applyFont="1" applyFill="1" applyBorder="1" applyProtection="1">
      <protection hidden="1"/>
    </xf>
    <xf numFmtId="0" fontId="2" fillId="29" borderId="0" xfId="46" applyFont="1" applyFill="1" applyAlignment="1" applyProtection="1">
      <alignment horizontal="right"/>
      <protection hidden="1"/>
    </xf>
    <xf numFmtId="2" fontId="10" fillId="29" borderId="0" xfId="44" applyNumberFormat="1" applyFont="1" applyFill="1" applyBorder="1" applyAlignment="1" applyProtection="1">
      <alignment horizontal="right" vertical="center"/>
      <protection hidden="1"/>
    </xf>
    <xf numFmtId="164" fontId="6" fillId="29" borderId="0" xfId="44" applyNumberFormat="1" applyFont="1" applyFill="1" applyBorder="1" applyAlignment="1" applyProtection="1">
      <alignment horizontal="left" vertical="center"/>
      <protection hidden="1"/>
    </xf>
    <xf numFmtId="2" fontId="10" fillId="29" borderId="0" xfId="44" quotePrefix="1" applyNumberFormat="1" applyFont="1" applyFill="1" applyAlignment="1" applyProtection="1">
      <alignment horizontal="center" vertical="center"/>
      <protection hidden="1"/>
    </xf>
    <xf numFmtId="165" fontId="10" fillId="29" borderId="0" xfId="44" applyNumberFormat="1" applyFont="1" applyFill="1" applyBorder="1" applyAlignment="1" applyProtection="1">
      <alignment horizontal="right" vertical="center"/>
      <protection hidden="1"/>
    </xf>
    <xf numFmtId="2" fontId="10" fillId="29" borderId="0" xfId="44" applyNumberFormat="1" applyFont="1" applyFill="1" applyAlignment="1" applyProtection="1">
      <alignment horizontal="left" vertical="center"/>
      <protection hidden="1"/>
    </xf>
    <xf numFmtId="0" fontId="6" fillId="29" borderId="0" xfId="44" applyFont="1" applyFill="1" applyBorder="1" applyAlignment="1" applyProtection="1">
      <alignment horizontal="left" vertical="center"/>
      <protection hidden="1"/>
    </xf>
    <xf numFmtId="164" fontId="10" fillId="29" borderId="0" xfId="44" applyNumberFormat="1" applyFont="1" applyFill="1" applyBorder="1" applyAlignment="1" applyProtection="1">
      <alignment horizontal="right" vertical="center"/>
      <protection hidden="1"/>
    </xf>
    <xf numFmtId="165" fontId="10" fillId="29" borderId="0" xfId="44" applyNumberFormat="1" applyFont="1" applyFill="1" applyAlignment="1" applyProtection="1">
      <alignment horizontal="left" vertical="center"/>
      <protection hidden="1"/>
    </xf>
    <xf numFmtId="165" fontId="10" fillId="29" borderId="0" xfId="44" applyNumberFormat="1" applyFont="1" applyFill="1" applyAlignment="1" applyProtection="1">
      <alignment horizontal="center" vertical="center"/>
      <protection hidden="1"/>
    </xf>
    <xf numFmtId="2" fontId="10" fillId="29" borderId="0" xfId="44" applyNumberFormat="1" applyFont="1" applyFill="1" applyBorder="1" applyAlignment="1" applyProtection="1">
      <alignment horizontal="left" vertical="center"/>
      <protection hidden="1"/>
    </xf>
    <xf numFmtId="0" fontId="6" fillId="29" borderId="0" xfId="44" applyFont="1" applyFill="1" applyBorder="1" applyAlignment="1" applyProtection="1">
      <alignment vertical="center"/>
      <protection hidden="1"/>
    </xf>
    <xf numFmtId="0" fontId="10" fillId="29" borderId="69" xfId="44" applyFont="1" applyFill="1" applyBorder="1" applyAlignment="1" applyProtection="1">
      <alignment vertical="center"/>
      <protection hidden="1"/>
    </xf>
    <xf numFmtId="0" fontId="9" fillId="29" borderId="70" xfId="44" applyFont="1" applyFill="1" applyBorder="1" applyAlignment="1" applyProtection="1">
      <alignment vertical="center"/>
      <protection hidden="1"/>
    </xf>
    <xf numFmtId="166" fontId="10" fillId="29" borderId="53" xfId="44" applyNumberFormat="1" applyFont="1" applyFill="1" applyBorder="1" applyAlignment="1" applyProtection="1">
      <alignment horizontal="center" vertical="center"/>
      <protection hidden="1"/>
    </xf>
    <xf numFmtId="0" fontId="10" fillId="29" borderId="71" xfId="44" applyFont="1" applyFill="1" applyBorder="1" applyAlignment="1" applyProtection="1">
      <alignment vertical="center"/>
      <protection hidden="1"/>
    </xf>
    <xf numFmtId="0" fontId="9" fillId="29" borderId="72" xfId="44" applyFont="1" applyFill="1" applyBorder="1" applyAlignment="1" applyProtection="1">
      <alignment vertical="center"/>
      <protection hidden="1"/>
    </xf>
    <xf numFmtId="166" fontId="10" fillId="29" borderId="55" xfId="44" applyNumberFormat="1" applyFont="1" applyFill="1" applyBorder="1" applyAlignment="1" applyProtection="1">
      <alignment horizontal="center" vertical="center"/>
      <protection hidden="1"/>
    </xf>
    <xf numFmtId="0" fontId="10" fillId="29" borderId="15" xfId="44" applyFont="1" applyFill="1" applyBorder="1" applyAlignment="1" applyProtection="1">
      <alignment vertical="center"/>
      <protection hidden="1"/>
    </xf>
    <xf numFmtId="0" fontId="9" fillId="29" borderId="16" xfId="44" applyFont="1" applyFill="1" applyBorder="1" applyAlignment="1" applyProtection="1">
      <alignment vertical="center"/>
      <protection hidden="1"/>
    </xf>
    <xf numFmtId="166" fontId="10" fillId="29" borderId="27" xfId="44" applyNumberFormat="1" applyFont="1" applyFill="1" applyBorder="1" applyAlignment="1" applyProtection="1">
      <alignment horizontal="center" vertical="center"/>
      <protection hidden="1"/>
    </xf>
    <xf numFmtId="0" fontId="15" fillId="29" borderId="0" xfId="44" applyFont="1" applyFill="1" applyBorder="1" applyAlignment="1" applyProtection="1">
      <alignment vertical="top" wrapText="1"/>
      <protection hidden="1"/>
    </xf>
    <xf numFmtId="0" fontId="8" fillId="24" borderId="22" xfId="42" applyFont="1" applyFill="1" applyBorder="1" applyAlignment="1" applyProtection="1">
      <alignment horizontal="centerContinuous"/>
      <protection hidden="1"/>
    </xf>
    <xf numFmtId="0" fontId="46" fillId="24" borderId="23" xfId="42" applyFont="1" applyFill="1" applyBorder="1" applyAlignment="1" applyProtection="1">
      <alignment horizontal="centerContinuous"/>
      <protection hidden="1"/>
    </xf>
    <xf numFmtId="0" fontId="46" fillId="24" borderId="24" xfId="42" applyFont="1" applyFill="1" applyBorder="1" applyAlignment="1" applyProtection="1">
      <alignment horizontal="centerContinuous"/>
      <protection hidden="1"/>
    </xf>
    <xf numFmtId="0" fontId="8" fillId="24" borderId="23" xfId="42" applyFont="1" applyFill="1" applyBorder="1" applyAlignment="1" applyProtection="1">
      <alignment horizontal="centerContinuous"/>
      <protection hidden="1"/>
    </xf>
    <xf numFmtId="0" fontId="22" fillId="24" borderId="30" xfId="42" applyFont="1" applyFill="1" applyBorder="1" applyAlignment="1" applyProtection="1">
      <alignment horizontal="centerContinuous"/>
      <protection hidden="1"/>
    </xf>
    <xf numFmtId="0" fontId="22" fillId="24" borderId="31" xfId="42" applyFont="1" applyFill="1" applyBorder="1" applyAlignment="1" applyProtection="1">
      <alignment horizontal="centerContinuous"/>
      <protection hidden="1"/>
    </xf>
    <xf numFmtId="0" fontId="2" fillId="24" borderId="32" xfId="42" applyFill="1" applyBorder="1" applyAlignment="1" applyProtection="1">
      <alignment horizontal="centerContinuous"/>
      <protection hidden="1"/>
    </xf>
    <xf numFmtId="0" fontId="22" fillId="24" borderId="38" xfId="42" applyFont="1" applyFill="1" applyBorder="1" applyAlignment="1" applyProtection="1">
      <alignment horizontal="centerContinuous"/>
      <protection hidden="1"/>
    </xf>
    <xf numFmtId="0" fontId="22" fillId="24" borderId="32" xfId="42" applyFont="1" applyFill="1" applyBorder="1" applyAlignment="1" applyProtection="1">
      <alignment horizontal="centerContinuous"/>
      <protection hidden="1"/>
    </xf>
    <xf numFmtId="0" fontId="22" fillId="24" borderId="33" xfId="42" applyFont="1" applyFill="1" applyBorder="1" applyAlignment="1" applyProtection="1">
      <alignment horizontal="centerContinuous"/>
      <protection hidden="1"/>
    </xf>
    <xf numFmtId="0" fontId="22" fillId="24" borderId="5" xfId="42" applyFont="1" applyFill="1" applyBorder="1" applyAlignment="1" applyProtection="1">
      <alignment horizontal="centerContinuous"/>
      <protection hidden="1"/>
    </xf>
    <xf numFmtId="0" fontId="22" fillId="24" borderId="34" xfId="42" applyFont="1" applyFill="1" applyBorder="1" applyAlignment="1" applyProtection="1">
      <alignment horizontal="centerContinuous"/>
      <protection hidden="1"/>
    </xf>
    <xf numFmtId="0" fontId="22" fillId="24" borderId="39" xfId="42" applyFont="1" applyFill="1" applyBorder="1" applyAlignment="1" applyProtection="1">
      <alignment horizontal="centerContinuous"/>
      <protection hidden="1"/>
    </xf>
    <xf numFmtId="0" fontId="22" fillId="24" borderId="35" xfId="42" applyFont="1" applyFill="1" applyBorder="1" applyAlignment="1" applyProtection="1">
      <alignment horizontal="centerContinuous"/>
      <protection hidden="1"/>
    </xf>
    <xf numFmtId="0" fontId="22" fillId="24" borderId="36" xfId="42" applyFont="1" applyFill="1" applyBorder="1" applyAlignment="1" applyProtection="1">
      <alignment horizontal="centerContinuous"/>
      <protection hidden="1"/>
    </xf>
    <xf numFmtId="0" fontId="22" fillId="24" borderId="37" xfId="42" applyFont="1" applyFill="1" applyBorder="1" applyAlignment="1" applyProtection="1">
      <alignment horizontal="centerContinuous"/>
      <protection hidden="1"/>
    </xf>
    <xf numFmtId="0" fontId="22" fillId="24" borderId="40" xfId="42" applyFont="1" applyFill="1" applyBorder="1" applyAlignment="1" applyProtection="1">
      <alignment horizontal="centerContinuous"/>
      <protection hidden="1"/>
    </xf>
    <xf numFmtId="0" fontId="22" fillId="24" borderId="0" xfId="42" applyFont="1" applyFill="1" applyProtection="1">
      <protection hidden="1"/>
    </xf>
    <xf numFmtId="0" fontId="41" fillId="24" borderId="0" xfId="42" applyFont="1" applyFill="1" applyProtection="1">
      <protection hidden="1"/>
    </xf>
    <xf numFmtId="0" fontId="12" fillId="24" borderId="0" xfId="38" applyFont="1" applyFill="1" applyAlignment="1" applyProtection="1">
      <protection hidden="1"/>
    </xf>
    <xf numFmtId="0" fontId="12" fillId="0" borderId="0" xfId="38" applyFont="1" applyAlignment="1" applyProtection="1"/>
    <xf numFmtId="0" fontId="42" fillId="29" borderId="13" xfId="44" applyFont="1" applyFill="1" applyBorder="1" applyAlignment="1" applyProtection="1">
      <alignment horizontal="centerContinuous" vertical="center"/>
      <protection hidden="1"/>
    </xf>
    <xf numFmtId="0" fontId="42" fillId="29" borderId="18" xfId="44" applyFont="1" applyFill="1" applyBorder="1" applyAlignment="1" applyProtection="1">
      <alignment horizontal="centerContinuous" vertical="center"/>
      <protection hidden="1"/>
    </xf>
    <xf numFmtId="0" fontId="10" fillId="29" borderId="12" xfId="44" applyFont="1" applyFill="1" applyBorder="1" applyAlignment="1" applyProtection="1">
      <alignment horizontal="center" vertical="center"/>
      <protection hidden="1"/>
    </xf>
    <xf numFmtId="0" fontId="10" fillId="29" borderId="22" xfId="44" applyFont="1" applyFill="1" applyBorder="1" applyAlignment="1" applyProtection="1">
      <alignment horizontal="centerContinuous" vertical="center"/>
      <protection hidden="1"/>
    </xf>
    <xf numFmtId="2" fontId="10" fillId="29" borderId="19" xfId="44" applyNumberFormat="1" applyFont="1" applyFill="1" applyBorder="1" applyAlignment="1" applyProtection="1">
      <alignment horizontal="center" vertical="center"/>
      <protection hidden="1"/>
    </xf>
    <xf numFmtId="0" fontId="10" fillId="29" borderId="17" xfId="44" applyFont="1" applyFill="1" applyBorder="1" applyAlignment="1" applyProtection="1">
      <alignment vertical="center"/>
      <protection hidden="1"/>
    </xf>
    <xf numFmtId="0" fontId="9" fillId="29" borderId="19" xfId="44" applyFont="1" applyFill="1" applyBorder="1" applyAlignment="1" applyProtection="1">
      <alignment vertical="center"/>
      <protection hidden="1"/>
    </xf>
    <xf numFmtId="0" fontId="10" fillId="29" borderId="46" xfId="44" applyFont="1" applyFill="1" applyBorder="1" applyAlignment="1" applyProtection="1">
      <alignment horizontal="center" vertical="center"/>
      <protection hidden="1"/>
    </xf>
    <xf numFmtId="0" fontId="10" fillId="29" borderId="45" xfId="44" applyFont="1" applyFill="1" applyBorder="1" applyAlignment="1" applyProtection="1">
      <alignment horizontal="center" vertical="center"/>
      <protection hidden="1"/>
    </xf>
    <xf numFmtId="0" fontId="10" fillId="29" borderId="67" xfId="44" applyFont="1" applyFill="1" applyBorder="1" applyAlignment="1" applyProtection="1">
      <alignment vertical="center"/>
      <protection hidden="1"/>
    </xf>
    <xf numFmtId="0" fontId="10" fillId="29" borderId="62" xfId="44" applyFont="1" applyFill="1" applyBorder="1" applyAlignment="1" applyProtection="1">
      <alignment vertical="center"/>
      <protection hidden="1"/>
    </xf>
    <xf numFmtId="0" fontId="10" fillId="29" borderId="8" xfId="0" applyFont="1" applyFill="1" applyBorder="1" applyAlignment="1" applyProtection="1">
      <alignment horizontal="center"/>
      <protection hidden="1"/>
    </xf>
    <xf numFmtId="0" fontId="10" fillId="29" borderId="45" xfId="0" applyFont="1" applyFill="1" applyBorder="1" applyAlignment="1" applyProtection="1">
      <alignment horizontal="center"/>
      <protection hidden="1"/>
    </xf>
    <xf numFmtId="0" fontId="10" fillId="29" borderId="68" xfId="44" applyFont="1" applyFill="1" applyBorder="1" applyAlignment="1" applyProtection="1">
      <alignment vertical="center"/>
      <protection hidden="1"/>
    </xf>
    <xf numFmtId="0" fontId="10" fillId="29" borderId="65" xfId="0" applyFont="1" applyFill="1" applyBorder="1" applyAlignment="1" applyProtection="1">
      <alignment horizontal="center"/>
      <protection hidden="1"/>
    </xf>
    <xf numFmtId="49" fontId="10" fillId="29" borderId="67" xfId="0" applyNumberFormat="1" applyFont="1" applyFill="1" applyBorder="1" applyProtection="1">
      <protection hidden="1"/>
    </xf>
    <xf numFmtId="0" fontId="10" fillId="29" borderId="61" xfId="0" applyFont="1" applyFill="1" applyBorder="1" applyAlignment="1" applyProtection="1">
      <alignment horizontal="center"/>
      <protection hidden="1"/>
    </xf>
    <xf numFmtId="0" fontId="10" fillId="29" borderId="61" xfId="44" applyFont="1" applyFill="1" applyBorder="1" applyAlignment="1" applyProtection="1">
      <alignment horizontal="center" vertical="center"/>
      <protection hidden="1"/>
    </xf>
    <xf numFmtId="49" fontId="10" fillId="29" borderId="62" xfId="0" applyNumberFormat="1" applyFont="1" applyFill="1" applyBorder="1" applyAlignment="1" applyProtection="1">
      <alignment horizontal="left"/>
      <protection hidden="1"/>
    </xf>
    <xf numFmtId="49" fontId="10" fillId="29" borderId="0" xfId="44" applyNumberFormat="1" applyFont="1" applyFill="1" applyBorder="1" applyAlignment="1" applyProtection="1">
      <alignment horizontal="center" vertical="center"/>
      <protection hidden="1"/>
    </xf>
    <xf numFmtId="49" fontId="10" fillId="29" borderId="64" xfId="0" applyNumberFormat="1" applyFont="1" applyFill="1" applyBorder="1" applyProtection="1">
      <protection hidden="1"/>
    </xf>
    <xf numFmtId="0" fontId="44" fillId="29" borderId="63" xfId="0" applyFont="1" applyFill="1" applyBorder="1" applyAlignment="1" applyProtection="1">
      <alignment horizontal="center" vertical="center"/>
      <protection hidden="1"/>
    </xf>
    <xf numFmtId="49" fontId="10" fillId="29" borderId="60" xfId="0" applyNumberFormat="1" applyFont="1" applyFill="1" applyBorder="1" applyProtection="1">
      <protection hidden="1"/>
    </xf>
    <xf numFmtId="0" fontId="9" fillId="29" borderId="48" xfId="0" applyFont="1" applyFill="1" applyBorder="1" applyProtection="1">
      <protection hidden="1"/>
    </xf>
    <xf numFmtId="0" fontId="10" fillId="29" borderId="59" xfId="0" applyFont="1" applyFill="1" applyBorder="1" applyAlignment="1" applyProtection="1">
      <alignment horizontal="center"/>
      <protection hidden="1"/>
    </xf>
    <xf numFmtId="49" fontId="10" fillId="29" borderId="62" xfId="0" applyNumberFormat="1" applyFont="1" applyFill="1" applyBorder="1" applyProtection="1">
      <protection hidden="1"/>
    </xf>
    <xf numFmtId="0" fontId="100" fillId="29" borderId="61" xfId="0" applyFont="1" applyFill="1" applyBorder="1" applyAlignment="1" applyProtection="1">
      <alignment horizontal="center" vertical="center"/>
      <protection hidden="1"/>
    </xf>
    <xf numFmtId="0" fontId="44" fillId="29" borderId="61" xfId="0" applyFont="1" applyFill="1" applyBorder="1" applyAlignment="1" applyProtection="1">
      <alignment horizontal="center" vertical="center"/>
      <protection hidden="1"/>
    </xf>
    <xf numFmtId="49" fontId="10" fillId="29" borderId="64" xfId="0" applyNumberFormat="1" applyFont="1" applyFill="1" applyBorder="1" applyAlignment="1" applyProtection="1">
      <alignment horizontal="left" vertical="top"/>
      <protection hidden="1"/>
    </xf>
    <xf numFmtId="0" fontId="9" fillId="29" borderId="19" xfId="0" applyFont="1" applyFill="1" applyBorder="1" applyProtection="1">
      <protection hidden="1"/>
    </xf>
    <xf numFmtId="0" fontId="10" fillId="29" borderId="63" xfId="0" applyFont="1" applyFill="1" applyBorder="1" applyAlignment="1" applyProtection="1">
      <alignment horizontal="center" vertical="center"/>
      <protection hidden="1"/>
    </xf>
    <xf numFmtId="0" fontId="10" fillId="29" borderId="63" xfId="0" applyFont="1" applyFill="1" applyBorder="1" applyAlignment="1" applyProtection="1">
      <alignment horizontal="center"/>
      <protection hidden="1"/>
    </xf>
    <xf numFmtId="0" fontId="10" fillId="29" borderId="10" xfId="44" applyFont="1" applyFill="1" applyBorder="1" applyAlignment="1" applyProtection="1">
      <alignment horizontal="center" vertical="center"/>
      <protection hidden="1"/>
    </xf>
    <xf numFmtId="0" fontId="10" fillId="29" borderId="65" xfId="44" applyFont="1" applyFill="1" applyBorder="1" applyAlignment="1" applyProtection="1">
      <alignment horizontal="center" vertical="center"/>
      <protection hidden="1"/>
    </xf>
    <xf numFmtId="0" fontId="10" fillId="29" borderId="66" xfId="44" applyFont="1" applyFill="1" applyBorder="1" applyAlignment="1" applyProtection="1">
      <alignment horizontal="center" vertical="center"/>
      <protection hidden="1"/>
    </xf>
    <xf numFmtId="0" fontId="10" fillId="29" borderId="30" xfId="44" applyFont="1" applyFill="1" applyBorder="1" applyAlignment="1" applyProtection="1">
      <alignment horizontal="centerContinuous" vertical="center"/>
      <protection hidden="1"/>
    </xf>
    <xf numFmtId="0" fontId="10" fillId="29" borderId="31" xfId="44" applyFont="1" applyFill="1" applyBorder="1" applyAlignment="1" applyProtection="1">
      <alignment horizontal="centerContinuous" vertical="center"/>
      <protection hidden="1"/>
    </xf>
    <xf numFmtId="0" fontId="10" fillId="29" borderId="32" xfId="44" applyFont="1" applyFill="1" applyBorder="1" applyAlignment="1" applyProtection="1">
      <alignment horizontal="centerContinuous" vertical="center"/>
      <protection hidden="1"/>
    </xf>
    <xf numFmtId="0" fontId="10" fillId="29" borderId="33" xfId="44" applyFont="1" applyFill="1" applyBorder="1" applyAlignment="1" applyProtection="1">
      <alignment horizontal="centerContinuous" vertical="center"/>
      <protection hidden="1"/>
    </xf>
    <xf numFmtId="0" fontId="10" fillId="29" borderId="5" xfId="44" applyFont="1" applyFill="1" applyBorder="1" applyAlignment="1" applyProtection="1">
      <alignment horizontal="centerContinuous" vertical="center"/>
      <protection hidden="1"/>
    </xf>
    <xf numFmtId="0" fontId="10" fillId="29" borderId="34" xfId="44" applyFont="1" applyFill="1" applyBorder="1" applyAlignment="1" applyProtection="1">
      <alignment horizontal="centerContinuous" vertical="center"/>
      <protection hidden="1"/>
    </xf>
    <xf numFmtId="0" fontId="10" fillId="29" borderId="60" xfId="44" applyFont="1" applyFill="1" applyBorder="1" applyAlignment="1" applyProtection="1">
      <alignment vertical="center"/>
      <protection hidden="1"/>
    </xf>
    <xf numFmtId="0" fontId="9" fillId="29" borderId="48" xfId="44" applyFont="1" applyFill="1" applyBorder="1" applyAlignment="1" applyProtection="1">
      <alignment vertical="center"/>
      <protection hidden="1"/>
    </xf>
    <xf numFmtId="0" fontId="10" fillId="29" borderId="59" xfId="44" applyFont="1" applyFill="1" applyBorder="1" applyAlignment="1" applyProtection="1">
      <alignment horizontal="center" vertical="center"/>
      <protection hidden="1"/>
    </xf>
    <xf numFmtId="0" fontId="10" fillId="29" borderId="35" xfId="44" applyFont="1" applyFill="1" applyBorder="1" applyAlignment="1" applyProtection="1">
      <alignment horizontal="centerContinuous" vertical="center"/>
      <protection hidden="1"/>
    </xf>
    <xf numFmtId="0" fontId="10" fillId="29" borderId="36" xfId="44" applyFont="1" applyFill="1" applyBorder="1" applyAlignment="1" applyProtection="1">
      <alignment horizontal="centerContinuous" vertical="center"/>
      <protection hidden="1"/>
    </xf>
    <xf numFmtId="0" fontId="10" fillId="29" borderId="37" xfId="44" applyFont="1" applyFill="1" applyBorder="1" applyAlignment="1" applyProtection="1">
      <alignment horizontal="centerContinuous" vertical="center"/>
      <protection hidden="1"/>
    </xf>
    <xf numFmtId="49" fontId="10" fillId="29" borderId="62" xfId="0" applyNumberFormat="1" applyFont="1" applyFill="1" applyBorder="1" applyAlignment="1" applyProtection="1">
      <alignment horizontal="left" vertical="top"/>
      <protection hidden="1"/>
    </xf>
    <xf numFmtId="0" fontId="9" fillId="29" borderId="45" xfId="0" applyFont="1" applyFill="1" applyBorder="1" applyAlignment="1" applyProtection="1">
      <protection hidden="1"/>
    </xf>
    <xf numFmtId="0" fontId="10" fillId="29" borderId="61" xfId="0" applyFont="1" applyFill="1" applyBorder="1" applyAlignment="1" applyProtection="1">
      <alignment horizontal="center" vertical="center"/>
      <protection hidden="1"/>
    </xf>
    <xf numFmtId="0" fontId="10" fillId="29" borderId="64" xfId="44" applyFont="1" applyFill="1" applyBorder="1" applyAlignment="1" applyProtection="1">
      <alignment vertical="center"/>
      <protection hidden="1"/>
    </xf>
    <xf numFmtId="0" fontId="10" fillId="29" borderId="63" xfId="44" applyFont="1" applyFill="1" applyBorder="1" applyAlignment="1" applyProtection="1">
      <alignment horizontal="center" vertical="center"/>
      <protection hidden="1"/>
    </xf>
    <xf numFmtId="0" fontId="10" fillId="29" borderId="10" xfId="0" applyFont="1" applyFill="1" applyBorder="1" applyAlignment="1" applyProtection="1">
      <alignment horizontal="center"/>
      <protection hidden="1"/>
    </xf>
    <xf numFmtId="0" fontId="10" fillId="29" borderId="60" xfId="0" applyFont="1" applyFill="1" applyBorder="1" applyProtection="1">
      <protection hidden="1"/>
    </xf>
    <xf numFmtId="0" fontId="10" fillId="29" borderId="64" xfId="0" applyFont="1" applyFill="1" applyBorder="1" applyProtection="1">
      <protection hidden="1"/>
    </xf>
    <xf numFmtId="0" fontId="10" fillId="29" borderId="28" xfId="0" applyFont="1" applyFill="1" applyBorder="1" applyProtection="1">
      <protection hidden="1"/>
    </xf>
    <xf numFmtId="0" fontId="10" fillId="29" borderId="21" xfId="0" applyFont="1" applyFill="1" applyBorder="1" applyAlignment="1" applyProtection="1">
      <alignment horizontal="center"/>
      <protection hidden="1"/>
    </xf>
    <xf numFmtId="0" fontId="10" fillId="29" borderId="17" xfId="0" applyFont="1" applyFill="1" applyBorder="1" applyProtection="1">
      <protection hidden="1"/>
    </xf>
    <xf numFmtId="0" fontId="10" fillId="29" borderId="11" xfId="0" applyFont="1" applyFill="1" applyBorder="1" applyAlignment="1" applyProtection="1">
      <alignment horizontal="center"/>
      <protection hidden="1"/>
    </xf>
    <xf numFmtId="49" fontId="10" fillId="29" borderId="12" xfId="44" applyNumberFormat="1" applyFont="1" applyFill="1" applyBorder="1" applyAlignment="1" applyProtection="1">
      <alignment horizontal="left" vertical="center"/>
      <protection hidden="1"/>
    </xf>
    <xf numFmtId="0" fontId="9" fillId="29" borderId="14" xfId="0" applyFont="1" applyFill="1" applyBorder="1" applyAlignment="1" applyProtection="1">
      <alignment vertical="top" wrapText="1"/>
      <protection hidden="1"/>
    </xf>
    <xf numFmtId="164" fontId="10" fillId="29" borderId="20" xfId="44" applyNumberFormat="1" applyFont="1" applyFill="1" applyBorder="1" applyAlignment="1" applyProtection="1">
      <alignment horizontal="center" vertical="center"/>
      <protection hidden="1"/>
    </xf>
    <xf numFmtId="0" fontId="0" fillId="29" borderId="19" xfId="0" applyFill="1" applyBorder="1" applyAlignment="1" applyProtection="1">
      <alignment vertical="top" wrapText="1"/>
      <protection hidden="1"/>
    </xf>
    <xf numFmtId="14" fontId="14" fillId="24" borderId="14" xfId="44" applyNumberFormat="1" applyFont="1" applyFill="1" applyBorder="1" applyAlignment="1" applyProtection="1">
      <alignment horizontal="center" vertical="center"/>
      <protection hidden="1"/>
    </xf>
    <xf numFmtId="0" fontId="31" fillId="24" borderId="0" xfId="44" applyFont="1" applyFill="1" applyBorder="1" applyAlignment="1" applyProtection="1">
      <alignment horizontal="left" vertical="center"/>
      <protection hidden="1"/>
    </xf>
    <xf numFmtId="0" fontId="0" fillId="29" borderId="0" xfId="0" applyFill="1" applyAlignment="1" applyProtection="1">
      <alignment vertical="center"/>
      <protection hidden="1"/>
    </xf>
    <xf numFmtId="0" fontId="42" fillId="24" borderId="0" xfId="47" applyFont="1" applyFill="1" applyProtection="1">
      <protection hidden="1"/>
    </xf>
    <xf numFmtId="0" fontId="42" fillId="24" borderId="0" xfId="47" applyFont="1" applyFill="1" applyBorder="1" applyAlignment="1" applyProtection="1">
      <protection hidden="1"/>
    </xf>
    <xf numFmtId="0" fontId="14" fillId="24" borderId="15" xfId="44" applyFont="1" applyFill="1" applyBorder="1" applyAlignment="1" applyProtection="1">
      <alignment vertical="center"/>
      <protection hidden="1"/>
    </xf>
    <xf numFmtId="0" fontId="14" fillId="24" borderId="17" xfId="44" applyFont="1" applyFill="1" applyBorder="1" applyAlignment="1" applyProtection="1">
      <alignment vertical="center"/>
      <protection hidden="1"/>
    </xf>
    <xf numFmtId="0" fontId="9" fillId="29" borderId="0" xfId="44" applyFont="1" applyFill="1" applyBorder="1" applyAlignment="1" applyProtection="1">
      <alignment horizontal="center" vertical="center"/>
      <protection hidden="1"/>
    </xf>
    <xf numFmtId="14" fontId="14" fillId="29" borderId="14" xfId="44" applyNumberFormat="1" applyFont="1" applyFill="1" applyBorder="1" applyAlignment="1" applyProtection="1">
      <alignment horizontal="center" vertical="center"/>
      <protection hidden="1"/>
    </xf>
    <xf numFmtId="0" fontId="31" fillId="29" borderId="0" xfId="44" applyFont="1" applyFill="1" applyBorder="1" applyAlignment="1" applyProtection="1">
      <alignment horizontal="left" vertical="center"/>
      <protection hidden="1"/>
    </xf>
    <xf numFmtId="18" fontId="14" fillId="29" borderId="16" xfId="44" applyNumberFormat="1" applyFont="1" applyFill="1" applyBorder="1" applyAlignment="1" applyProtection="1">
      <alignment horizontal="center" vertical="center"/>
      <protection hidden="1"/>
    </xf>
    <xf numFmtId="0" fontId="14" fillId="29" borderId="17" xfId="44" applyFont="1" applyFill="1" applyBorder="1" applyAlignment="1" applyProtection="1">
      <alignment vertical="center"/>
      <protection hidden="1"/>
    </xf>
    <xf numFmtId="0" fontId="37" fillId="24" borderId="0" xfId="44" applyFont="1" applyFill="1" applyBorder="1" applyAlignment="1" applyProtection="1">
      <alignment vertical="center"/>
      <protection hidden="1"/>
    </xf>
    <xf numFmtId="0" fontId="0" fillId="29" borderId="0" xfId="0" applyFill="1" applyBorder="1" applyAlignment="1" applyProtection="1">
      <protection hidden="1"/>
    </xf>
    <xf numFmtId="0" fontId="95" fillId="29" borderId="0" xfId="0" applyFont="1" applyFill="1" applyBorder="1" applyAlignment="1" applyProtection="1">
      <protection hidden="1"/>
    </xf>
    <xf numFmtId="0" fontId="49" fillId="29" borderId="0" xfId="44" applyFont="1" applyFill="1" applyBorder="1" applyAlignment="1" applyProtection="1">
      <alignment horizontal="left" vertical="center"/>
      <protection hidden="1"/>
    </xf>
    <xf numFmtId="49" fontId="14" fillId="29" borderId="0" xfId="44" applyNumberFormat="1" applyFont="1" applyFill="1" applyBorder="1" applyAlignment="1" applyProtection="1">
      <alignment horizontal="center" vertical="center"/>
      <protection hidden="1"/>
    </xf>
    <xf numFmtId="49" fontId="14" fillId="29" borderId="0" xfId="44" applyNumberFormat="1" applyFont="1" applyFill="1" applyAlignment="1" applyProtection="1">
      <alignment horizontal="center" vertical="center"/>
      <protection hidden="1"/>
    </xf>
    <xf numFmtId="0" fontId="11" fillId="29" borderId="0" xfId="45" applyFont="1" applyFill="1" applyBorder="1" applyAlignment="1" applyProtection="1">
      <alignment vertical="center"/>
      <protection hidden="1"/>
    </xf>
    <xf numFmtId="10" fontId="14" fillId="29" borderId="0" xfId="44" applyNumberFormat="1" applyFont="1" applyFill="1" applyBorder="1" applyAlignment="1" applyProtection="1">
      <alignment vertical="center"/>
      <protection hidden="1"/>
    </xf>
    <xf numFmtId="0" fontId="14" fillId="29" borderId="12" xfId="44" applyFont="1" applyFill="1" applyBorder="1" applyAlignment="1" applyProtection="1">
      <alignment horizontal="centerContinuous" vertical="center"/>
      <protection hidden="1"/>
    </xf>
    <xf numFmtId="0" fontId="14" fillId="29" borderId="13" xfId="44" applyFont="1" applyFill="1" applyBorder="1" applyAlignment="1" applyProtection="1">
      <alignment horizontal="centerContinuous" vertical="center"/>
      <protection hidden="1"/>
    </xf>
    <xf numFmtId="0" fontId="14" fillId="29" borderId="14" xfId="44" applyFont="1" applyFill="1" applyBorder="1" applyAlignment="1" applyProtection="1">
      <alignment horizontal="centerContinuous" vertical="center"/>
      <protection hidden="1"/>
    </xf>
    <xf numFmtId="0" fontId="14" fillId="29" borderId="17" xfId="44" applyFont="1" applyFill="1" applyBorder="1" applyAlignment="1" applyProtection="1">
      <alignment horizontal="centerContinuous" vertical="center"/>
      <protection hidden="1"/>
    </xf>
    <xf numFmtId="0" fontId="14" fillId="29" borderId="18" xfId="44" applyFont="1" applyFill="1" applyBorder="1" applyAlignment="1" applyProtection="1">
      <alignment horizontal="centerContinuous" vertical="center"/>
      <protection hidden="1"/>
    </xf>
    <xf numFmtId="0" fontId="14" fillId="29" borderId="19" xfId="44" applyFont="1" applyFill="1" applyBorder="1" applyAlignment="1" applyProtection="1">
      <alignment horizontal="centerContinuous" vertical="center"/>
      <protection hidden="1"/>
    </xf>
    <xf numFmtId="10" fontId="14" fillId="29" borderId="20" xfId="44" applyNumberFormat="1" applyFont="1" applyFill="1" applyBorder="1" applyAlignment="1" applyProtection="1">
      <alignment horizontal="center" vertical="center"/>
      <protection hidden="1"/>
    </xf>
    <xf numFmtId="0" fontId="14" fillId="29" borderId="20" xfId="44" applyFont="1" applyFill="1" applyBorder="1" applyAlignment="1" applyProtection="1">
      <alignment horizontal="center" vertical="center"/>
      <protection hidden="1"/>
    </xf>
    <xf numFmtId="0" fontId="14" fillId="29" borderId="15" xfId="44" applyFont="1" applyFill="1" applyBorder="1" applyAlignment="1" applyProtection="1">
      <alignment horizontal="centerContinuous" vertical="center"/>
      <protection hidden="1"/>
    </xf>
    <xf numFmtId="0" fontId="14" fillId="29" borderId="16" xfId="44" applyFont="1" applyFill="1" applyBorder="1" applyAlignment="1" applyProtection="1">
      <alignment horizontal="centerContinuous" vertical="center"/>
      <protection hidden="1"/>
    </xf>
    <xf numFmtId="0" fontId="14" fillId="29" borderId="27" xfId="44" applyFont="1" applyFill="1" applyBorder="1" applyAlignment="1" applyProtection="1">
      <alignment horizontal="center" vertical="center"/>
      <protection hidden="1"/>
    </xf>
    <xf numFmtId="0" fontId="14" fillId="29" borderId="15" xfId="44" applyFont="1" applyFill="1" applyBorder="1" applyAlignment="1" applyProtection="1">
      <alignment horizontal="center" vertical="center"/>
      <protection hidden="1"/>
    </xf>
    <xf numFmtId="2" fontId="14" fillId="29" borderId="11" xfId="44" applyNumberFormat="1" applyFont="1" applyFill="1" applyBorder="1" applyAlignment="1" applyProtection="1">
      <alignment horizontal="center" vertical="center"/>
      <protection hidden="1"/>
    </xf>
    <xf numFmtId="0" fontId="14" fillId="29" borderId="11" xfId="44" applyFont="1" applyFill="1" applyBorder="1" applyAlignment="1" applyProtection="1">
      <alignment horizontal="center" vertical="center"/>
      <protection hidden="1"/>
    </xf>
    <xf numFmtId="2" fontId="14" fillId="29" borderId="19" xfId="44" applyNumberFormat="1" applyFont="1" applyFill="1" applyBorder="1" applyAlignment="1" applyProtection="1">
      <alignment horizontal="center" vertical="center"/>
      <protection hidden="1"/>
    </xf>
    <xf numFmtId="0" fontId="14" fillId="29" borderId="60" xfId="44" applyFont="1" applyFill="1" applyBorder="1" applyAlignment="1" applyProtection="1">
      <alignment vertical="center"/>
      <protection hidden="1"/>
    </xf>
    <xf numFmtId="0" fontId="14" fillId="29" borderId="59" xfId="44" applyFont="1" applyFill="1" applyBorder="1" applyAlignment="1" applyProtection="1">
      <alignment horizontal="center" vertical="center"/>
      <protection hidden="1"/>
    </xf>
    <xf numFmtId="49" fontId="14" fillId="29" borderId="62" xfId="0" applyNumberFormat="1" applyFont="1" applyFill="1" applyBorder="1" applyAlignment="1" applyProtection="1">
      <alignment horizontal="left" vertical="top"/>
      <protection hidden="1"/>
    </xf>
    <xf numFmtId="0" fontId="14" fillId="29" borderId="61" xfId="0" applyFont="1" applyFill="1" applyBorder="1" applyAlignment="1" applyProtection="1">
      <alignment horizontal="center" vertical="center"/>
      <protection hidden="1"/>
    </xf>
    <xf numFmtId="0" fontId="14" fillId="29" borderId="0" xfId="0" applyFont="1" applyFill="1" applyBorder="1" applyAlignment="1" applyProtection="1">
      <alignment horizontal="center"/>
      <protection hidden="1"/>
    </xf>
    <xf numFmtId="0" fontId="14" fillId="29" borderId="62" xfId="44" applyFont="1" applyFill="1" applyBorder="1" applyAlignment="1" applyProtection="1">
      <alignment vertical="center"/>
      <protection hidden="1"/>
    </xf>
    <xf numFmtId="0" fontId="14" fillId="29" borderId="61" xfId="44" applyFont="1" applyFill="1" applyBorder="1" applyAlignment="1" applyProtection="1">
      <alignment horizontal="center" vertical="center"/>
      <protection hidden="1"/>
    </xf>
    <xf numFmtId="0" fontId="14" fillId="29" borderId="64" xfId="44" applyFont="1" applyFill="1" applyBorder="1" applyAlignment="1" applyProtection="1">
      <alignment vertical="center"/>
      <protection hidden="1"/>
    </xf>
    <xf numFmtId="0" fontId="14" fillId="29" borderId="63" xfId="44" applyFont="1" applyFill="1" applyBorder="1" applyAlignment="1" applyProtection="1">
      <alignment horizontal="center" vertical="center"/>
      <protection hidden="1"/>
    </xf>
    <xf numFmtId="0" fontId="14" fillId="29" borderId="22" xfId="0" applyFont="1" applyFill="1" applyBorder="1" applyProtection="1">
      <protection hidden="1"/>
    </xf>
    <xf numFmtId="0" fontId="14" fillId="29" borderId="10" xfId="0" applyFont="1" applyFill="1" applyBorder="1" applyAlignment="1" applyProtection="1">
      <alignment horizontal="center"/>
      <protection hidden="1"/>
    </xf>
    <xf numFmtId="0" fontId="14" fillId="29" borderId="0" xfId="0" applyFont="1" applyFill="1" applyBorder="1" applyProtection="1">
      <protection hidden="1"/>
    </xf>
    <xf numFmtId="0" fontId="14" fillId="29" borderId="12" xfId="44" applyFont="1" applyFill="1" applyBorder="1" applyAlignment="1" applyProtection="1">
      <alignment horizontal="center" vertical="center"/>
      <protection hidden="1"/>
    </xf>
    <xf numFmtId="0" fontId="14" fillId="29" borderId="22" xfId="44" applyFont="1" applyFill="1" applyBorder="1" applyAlignment="1" applyProtection="1">
      <alignment horizontal="centerContinuous" vertical="center"/>
      <protection hidden="1"/>
    </xf>
    <xf numFmtId="0" fontId="14" fillId="29" borderId="23" xfId="44" applyFont="1" applyFill="1" applyBorder="1" applyAlignment="1" applyProtection="1">
      <alignment horizontal="centerContinuous" vertical="center"/>
      <protection hidden="1"/>
    </xf>
    <xf numFmtId="0" fontId="14" fillId="29" borderId="24" xfId="44" applyFont="1" applyFill="1" applyBorder="1" applyAlignment="1" applyProtection="1">
      <alignment horizontal="centerContinuous" vertical="center"/>
      <protection hidden="1"/>
    </xf>
    <xf numFmtId="0" fontId="14" fillId="29" borderId="14" xfId="44" applyFont="1" applyFill="1" applyBorder="1" applyAlignment="1" applyProtection="1">
      <alignment vertical="center"/>
      <protection hidden="1"/>
    </xf>
    <xf numFmtId="49" fontId="42" fillId="29" borderId="0" xfId="44" applyNumberFormat="1" applyFont="1" applyFill="1" applyAlignment="1" applyProtection="1">
      <alignment horizontal="center" vertical="center"/>
      <protection hidden="1"/>
    </xf>
    <xf numFmtId="49" fontId="42" fillId="29" borderId="0" xfId="44" applyNumberFormat="1" applyFont="1" applyFill="1" applyBorder="1" applyAlignment="1" applyProtection="1">
      <alignment horizontal="center" vertical="center"/>
      <protection hidden="1"/>
    </xf>
    <xf numFmtId="0" fontId="14" fillId="29" borderId="20" xfId="44" applyFont="1" applyFill="1" applyBorder="1" applyAlignment="1" applyProtection="1">
      <alignment vertical="center"/>
      <protection hidden="1"/>
    </xf>
    <xf numFmtId="49" fontId="96" fillId="29" borderId="0" xfId="0" applyNumberFormat="1" applyFont="1" applyFill="1" applyBorder="1" applyAlignment="1" applyProtection="1">
      <alignment vertical="top"/>
      <protection hidden="1"/>
    </xf>
    <xf numFmtId="0" fontId="97" fillId="29" borderId="0" xfId="0" applyFont="1" applyFill="1" applyBorder="1" applyAlignment="1" applyProtection="1">
      <alignment wrapText="1"/>
      <protection hidden="1"/>
    </xf>
    <xf numFmtId="0" fontId="0" fillId="29" borderId="0" xfId="0" applyFill="1" applyBorder="1" applyAlignment="1" applyProtection="1">
      <alignment horizontal="center" vertical="center"/>
      <protection hidden="1"/>
    </xf>
    <xf numFmtId="0" fontId="14" fillId="29" borderId="25" xfId="44" applyFont="1" applyFill="1" applyBorder="1" applyAlignment="1" applyProtection="1">
      <alignment horizontal="center" vertical="center"/>
      <protection hidden="1"/>
    </xf>
    <xf numFmtId="0" fontId="100" fillId="29" borderId="0" xfId="0" applyFont="1" applyFill="1" applyBorder="1" applyAlignment="1" applyProtection="1">
      <alignment vertical="top" wrapText="1"/>
      <protection hidden="1"/>
    </xf>
    <xf numFmtId="49" fontId="14" fillId="29" borderId="0" xfId="0" applyNumberFormat="1" applyFont="1" applyFill="1" applyBorder="1" applyProtection="1">
      <protection hidden="1"/>
    </xf>
    <xf numFmtId="0" fontId="14" fillId="29" borderId="0" xfId="0" applyFont="1" applyFill="1" applyBorder="1" applyAlignment="1" applyProtection="1">
      <alignment horizontal="centerContinuous"/>
      <protection hidden="1"/>
    </xf>
    <xf numFmtId="0" fontId="14" fillId="29" borderId="0" xfId="46" applyFont="1" applyFill="1" applyAlignment="1" applyProtection="1">
      <alignment horizontal="right"/>
      <protection hidden="1"/>
    </xf>
    <xf numFmtId="0" fontId="9" fillId="29" borderId="0" xfId="44" applyFont="1" applyFill="1" applyAlignment="1" applyProtection="1">
      <alignment vertical="center"/>
      <protection hidden="1"/>
    </xf>
    <xf numFmtId="166" fontId="14" fillId="29" borderId="0" xfId="44" applyNumberFormat="1" applyFont="1" applyFill="1" applyBorder="1" applyAlignment="1" applyProtection="1">
      <alignment horizontal="center" vertical="center"/>
      <protection hidden="1"/>
    </xf>
    <xf numFmtId="166" fontId="14" fillId="29" borderId="0" xfId="46" applyNumberFormat="1" applyFont="1" applyFill="1" applyBorder="1" applyAlignment="1" applyProtection="1">
      <alignment horizontal="center" vertical="center"/>
      <protection hidden="1"/>
    </xf>
    <xf numFmtId="0" fontId="14" fillId="29" borderId="0" xfId="0" quotePrefix="1" applyFont="1" applyFill="1" applyBorder="1" applyProtection="1">
      <protection hidden="1"/>
    </xf>
    <xf numFmtId="0" fontId="54" fillId="29" borderId="0" xfId="44" applyFont="1" applyFill="1" applyAlignment="1" applyProtection="1">
      <alignment vertical="center"/>
      <protection hidden="1"/>
    </xf>
    <xf numFmtId="164" fontId="16" fillId="29" borderId="9" xfId="44" applyNumberFormat="1" applyFont="1" applyFill="1" applyBorder="1" applyAlignment="1" applyProtection="1">
      <alignment horizontal="center" vertical="center"/>
      <protection hidden="1"/>
    </xf>
    <xf numFmtId="164" fontId="16" fillId="29" borderId="8" xfId="44" applyNumberFormat="1" applyFont="1" applyFill="1" applyBorder="1" applyAlignment="1" applyProtection="1">
      <alignment horizontal="center" vertical="center"/>
      <protection hidden="1"/>
    </xf>
    <xf numFmtId="2" fontId="14" fillId="29" borderId="8" xfId="46" applyNumberFormat="1" applyFont="1" applyFill="1" applyBorder="1" applyAlignment="1" applyProtection="1">
      <alignment horizontal="center" vertical="center"/>
      <protection hidden="1"/>
    </xf>
    <xf numFmtId="0" fontId="54" fillId="29" borderId="0" xfId="44" applyFont="1" applyFill="1" applyAlignment="1" applyProtection="1">
      <alignment horizontal="right" vertical="center"/>
      <protection hidden="1"/>
    </xf>
    <xf numFmtId="0" fontId="54" fillId="29" borderId="0" xfId="44" applyFont="1" applyFill="1" applyBorder="1" applyAlignment="1" applyProtection="1">
      <alignment horizontal="right" vertical="center"/>
      <protection hidden="1"/>
    </xf>
    <xf numFmtId="2" fontId="14" fillId="29" borderId="0" xfId="44" quotePrefix="1" applyNumberFormat="1" applyFont="1" applyFill="1" applyAlignment="1" applyProtection="1">
      <alignment horizontal="center" vertical="center"/>
      <protection hidden="1"/>
    </xf>
    <xf numFmtId="164" fontId="14" fillId="29" borderId="0" xfId="46" applyNumberFormat="1" applyFont="1" applyFill="1" applyBorder="1" applyAlignment="1" applyProtection="1">
      <alignment horizontal="center"/>
      <protection hidden="1"/>
    </xf>
    <xf numFmtId="0" fontId="14" fillId="29" borderId="0" xfId="0" applyFont="1" applyFill="1" applyBorder="1" applyAlignment="1" applyProtection="1">
      <protection hidden="1"/>
    </xf>
    <xf numFmtId="164" fontId="16" fillId="29" borderId="21" xfId="44" applyNumberFormat="1" applyFont="1" applyFill="1" applyBorder="1" applyAlignment="1" applyProtection="1">
      <alignment horizontal="center" vertical="center"/>
      <protection hidden="1"/>
    </xf>
    <xf numFmtId="1" fontId="54" fillId="29" borderId="0" xfId="44" applyNumberFormat="1" applyFont="1" applyFill="1" applyAlignment="1" applyProtection="1">
      <alignment horizontal="right" vertical="center"/>
      <protection hidden="1"/>
    </xf>
    <xf numFmtId="164" fontId="11" fillId="29" borderId="0" xfId="44" applyNumberFormat="1" applyFont="1" applyFill="1" applyBorder="1" applyAlignment="1" applyProtection="1">
      <alignment horizontal="left" vertical="center"/>
      <protection hidden="1"/>
    </xf>
    <xf numFmtId="165" fontId="14" fillId="29" borderId="0" xfId="44" applyNumberFormat="1" applyFont="1" applyFill="1" applyAlignment="1" applyProtection="1">
      <alignment horizontal="left" vertical="center"/>
      <protection hidden="1"/>
    </xf>
    <xf numFmtId="2" fontId="10" fillId="24" borderId="9" xfId="44" applyNumberFormat="1" applyFont="1" applyFill="1" applyBorder="1" applyAlignment="1" applyProtection="1">
      <alignment horizontal="center" vertical="center"/>
      <protection hidden="1"/>
    </xf>
    <xf numFmtId="2" fontId="10" fillId="24" borderId="21" xfId="44" applyNumberFormat="1" applyFont="1" applyFill="1" applyBorder="1" applyAlignment="1" applyProtection="1">
      <alignment horizontal="center" vertical="center"/>
      <protection hidden="1"/>
    </xf>
    <xf numFmtId="166" fontId="10" fillId="24" borderId="9" xfId="44" applyNumberFormat="1" applyFont="1" applyFill="1" applyBorder="1" applyAlignment="1" applyProtection="1">
      <alignment horizontal="center" vertical="center"/>
      <protection hidden="1"/>
    </xf>
    <xf numFmtId="0" fontId="18" fillId="24" borderId="0" xfId="44" applyFont="1" applyFill="1" applyBorder="1" applyAlignment="1" applyProtection="1">
      <alignment horizontal="center" vertical="center"/>
      <protection hidden="1"/>
    </xf>
    <xf numFmtId="2" fontId="10" fillId="24" borderId="10" xfId="44" applyNumberFormat="1" applyFont="1" applyFill="1" applyBorder="1" applyAlignment="1" applyProtection="1">
      <alignment horizontal="center" vertical="center"/>
      <protection hidden="1"/>
    </xf>
    <xf numFmtId="2" fontId="2" fillId="24" borderId="0" xfId="44" applyNumberFormat="1" applyFont="1" applyFill="1" applyBorder="1" applyAlignment="1" applyProtection="1">
      <alignment horizontal="center" vertical="center"/>
      <protection hidden="1"/>
    </xf>
    <xf numFmtId="2" fontId="10" fillId="24" borderId="8" xfId="44" applyNumberFormat="1" applyFont="1" applyFill="1" applyBorder="1" applyAlignment="1" applyProtection="1">
      <alignment horizontal="center" vertical="center"/>
      <protection hidden="1"/>
    </xf>
    <xf numFmtId="2" fontId="10" fillId="0" borderId="8" xfId="46" applyNumberFormat="1" applyFont="1" applyBorder="1" applyAlignment="1" applyProtection="1">
      <alignment horizontal="center"/>
      <protection hidden="1"/>
    </xf>
    <xf numFmtId="2" fontId="10" fillId="0" borderId="21" xfId="46" applyNumberFormat="1" applyFont="1" applyBorder="1" applyAlignment="1" applyProtection="1">
      <alignment horizontal="center"/>
      <protection hidden="1"/>
    </xf>
    <xf numFmtId="2" fontId="10" fillId="0" borderId="0" xfId="46" applyNumberFormat="1" applyFont="1" applyBorder="1" applyAlignment="1" applyProtection="1">
      <alignment horizontal="center"/>
      <protection hidden="1"/>
    </xf>
    <xf numFmtId="0" fontId="10" fillId="24" borderId="0" xfId="44" applyNumberFormat="1" applyFont="1" applyFill="1" applyAlignment="1" applyProtection="1">
      <alignment horizontal="center" vertical="center"/>
      <protection hidden="1"/>
    </xf>
    <xf numFmtId="0" fontId="10" fillId="0" borderId="10" xfId="46" applyFont="1" applyBorder="1" applyAlignment="1" applyProtection="1">
      <alignment horizontal="center"/>
      <protection hidden="1"/>
    </xf>
    <xf numFmtId="0" fontId="10" fillId="24" borderId="21" xfId="44" applyFont="1" applyFill="1" applyBorder="1" applyAlignment="1" applyProtection="1">
      <alignment horizontal="center" vertical="center"/>
      <protection hidden="1"/>
    </xf>
    <xf numFmtId="0" fontId="10" fillId="24" borderId="0" xfId="0" applyFont="1" applyFill="1" applyBorder="1" applyProtection="1">
      <protection hidden="1"/>
    </xf>
    <xf numFmtId="0" fontId="10" fillId="0" borderId="20" xfId="44" applyFont="1" applyFill="1" applyBorder="1" applyAlignment="1" applyProtection="1">
      <alignment horizontal="center" vertical="center"/>
      <protection hidden="1"/>
    </xf>
    <xf numFmtId="0" fontId="10" fillId="24" borderId="17" xfId="0" applyFont="1" applyFill="1" applyBorder="1" applyProtection="1">
      <protection hidden="1"/>
    </xf>
    <xf numFmtId="0" fontId="10" fillId="24" borderId="11" xfId="0" applyFont="1" applyFill="1" applyBorder="1" applyAlignment="1" applyProtection="1">
      <alignment horizontal="center"/>
      <protection hidden="1"/>
    </xf>
    <xf numFmtId="0" fontId="10" fillId="25" borderId="8" xfId="44" applyFont="1" applyFill="1" applyBorder="1" applyAlignment="1" applyProtection="1">
      <alignment horizontal="center" vertical="center"/>
      <protection locked="0"/>
    </xf>
    <xf numFmtId="49" fontId="10" fillId="24" borderId="17" xfId="43" applyNumberFormat="1" applyFont="1" applyFill="1" applyBorder="1" applyAlignment="1" applyProtection="1">
      <alignment horizontal="left" vertical="center"/>
      <protection locked="0"/>
    </xf>
    <xf numFmtId="49" fontId="10" fillId="24" borderId="22" xfId="43" quotePrefix="1" applyNumberFormat="1" applyFont="1" applyFill="1" applyBorder="1" applyAlignment="1" applyProtection="1">
      <alignment horizontal="left" vertical="center"/>
      <protection locked="0"/>
    </xf>
    <xf numFmtId="49" fontId="10" fillId="24" borderId="10" xfId="43" applyNumberFormat="1" applyFont="1" applyFill="1" applyBorder="1" applyAlignment="1" applyProtection="1">
      <alignment horizontal="left" vertical="center"/>
      <protection locked="0"/>
    </xf>
    <xf numFmtId="164" fontId="14" fillId="25" borderId="27" xfId="44" applyNumberFormat="1" applyFont="1" applyFill="1" applyBorder="1" applyAlignment="1" applyProtection="1">
      <alignment horizontal="center" vertical="center"/>
      <protection locked="0"/>
    </xf>
    <xf numFmtId="49" fontId="10" fillId="24" borderId="22" xfId="43" applyNumberFormat="1" applyFont="1" applyFill="1" applyBorder="1" applyAlignment="1" applyProtection="1">
      <alignment horizontal="left" vertical="center"/>
      <protection locked="0"/>
    </xf>
    <xf numFmtId="0" fontId="52" fillId="24" borderId="28" xfId="42" applyFont="1" applyFill="1" applyBorder="1" applyAlignment="1" applyProtection="1">
      <alignment horizontal="center"/>
    </xf>
    <xf numFmtId="0" fontId="52" fillId="24" borderId="50" xfId="42" applyFont="1" applyFill="1" applyBorder="1" applyAlignment="1" applyProtection="1">
      <alignment horizontal="center"/>
    </xf>
    <xf numFmtId="0" fontId="52" fillId="24" borderId="45" xfId="42" applyFont="1" applyFill="1" applyBorder="1" applyAlignment="1" applyProtection="1">
      <alignment horizontal="center"/>
    </xf>
    <xf numFmtId="0" fontId="22" fillId="24" borderId="28" xfId="42" applyFont="1" applyFill="1" applyBorder="1" applyAlignment="1" applyProtection="1">
      <alignment horizontal="center"/>
    </xf>
    <xf numFmtId="0" fontId="22" fillId="24" borderId="50" xfId="42" applyFont="1" applyFill="1" applyBorder="1" applyAlignment="1" applyProtection="1">
      <alignment horizontal="center"/>
    </xf>
    <xf numFmtId="0" fontId="22" fillId="24" borderId="45" xfId="42" applyFont="1" applyFill="1" applyBorder="1" applyAlignment="1" applyProtection="1">
      <alignment horizontal="center"/>
    </xf>
    <xf numFmtId="0" fontId="22" fillId="24" borderId="42" xfId="42" applyFont="1" applyFill="1" applyBorder="1" applyAlignment="1" applyProtection="1">
      <alignment horizontal="center"/>
    </xf>
    <xf numFmtId="0" fontId="22" fillId="24" borderId="49" xfId="42" applyFont="1" applyFill="1" applyBorder="1" applyAlignment="1" applyProtection="1">
      <alignment horizontal="center"/>
    </xf>
    <xf numFmtId="0" fontId="22" fillId="24" borderId="46" xfId="42" applyFont="1" applyFill="1" applyBorder="1" applyAlignment="1" applyProtection="1">
      <alignment horizontal="center"/>
    </xf>
    <xf numFmtId="14" fontId="22" fillId="24" borderId="28" xfId="42" applyNumberFormat="1" applyFont="1" applyFill="1" applyBorder="1" applyAlignment="1" applyProtection="1">
      <alignment horizontal="center"/>
    </xf>
    <xf numFmtId="14" fontId="22" fillId="24" borderId="50" xfId="42" applyNumberFormat="1" applyFont="1" applyFill="1" applyBorder="1" applyAlignment="1" applyProtection="1">
      <alignment horizontal="center"/>
    </xf>
    <xf numFmtId="14" fontId="22" fillId="24" borderId="45" xfId="42" applyNumberFormat="1" applyFont="1" applyFill="1" applyBorder="1" applyAlignment="1" applyProtection="1">
      <alignment horizontal="center"/>
    </xf>
    <xf numFmtId="2" fontId="9" fillId="27" borderId="22" xfId="44" applyNumberFormat="1" applyFont="1" applyFill="1" applyBorder="1" applyAlignment="1" applyProtection="1">
      <alignment horizontal="center" vertical="center"/>
      <protection locked="0"/>
    </xf>
    <xf numFmtId="2" fontId="9" fillId="27" borderId="24" xfId="44" applyNumberFormat="1" applyFont="1" applyFill="1" applyBorder="1" applyAlignment="1" applyProtection="1">
      <alignment horizontal="center" vertical="center"/>
      <protection locked="0"/>
    </xf>
    <xf numFmtId="0" fontId="8" fillId="24" borderId="22" xfId="42" applyFont="1" applyFill="1" applyBorder="1" applyAlignment="1" applyProtection="1">
      <alignment horizontal="center"/>
    </xf>
    <xf numFmtId="0" fontId="8" fillId="24" borderId="23" xfId="42" applyFont="1" applyFill="1" applyBorder="1" applyAlignment="1" applyProtection="1">
      <alignment horizontal="center"/>
    </xf>
    <xf numFmtId="0" fontId="8" fillId="24" borderId="24" xfId="42" applyFont="1" applyFill="1" applyBorder="1" applyAlignment="1" applyProtection="1">
      <alignment horizontal="center"/>
    </xf>
    <xf numFmtId="0" fontId="52" fillId="24" borderId="42" xfId="42" applyFont="1" applyFill="1" applyBorder="1" applyAlignment="1" applyProtection="1">
      <alignment horizontal="center"/>
    </xf>
    <xf numFmtId="0" fontId="52" fillId="24" borderId="49" xfId="42" applyFont="1" applyFill="1" applyBorder="1" applyAlignment="1" applyProtection="1">
      <alignment horizontal="center"/>
    </xf>
    <xf numFmtId="0" fontId="52" fillId="24" borderId="46" xfId="42" applyFont="1" applyFill="1" applyBorder="1" applyAlignment="1" applyProtection="1">
      <alignment horizontal="center"/>
    </xf>
    <xf numFmtId="2" fontId="9" fillId="28" borderId="22" xfId="44" applyNumberFormat="1" applyFont="1" applyFill="1" applyBorder="1" applyAlignment="1" applyProtection="1">
      <alignment horizontal="center" vertical="center"/>
    </xf>
    <xf numFmtId="2" fontId="9" fillId="28" borderId="24" xfId="44" applyNumberFormat="1" applyFont="1" applyFill="1" applyBorder="1" applyAlignment="1" applyProtection="1">
      <alignment horizontal="center" vertical="center"/>
    </xf>
    <xf numFmtId="0" fontId="15" fillId="24" borderId="0" xfId="44" applyFont="1" applyFill="1" applyBorder="1" applyAlignment="1" applyProtection="1">
      <alignment vertical="top" wrapText="1"/>
      <protection hidden="1"/>
    </xf>
    <xf numFmtId="0" fontId="0" fillId="0" borderId="0" xfId="0" applyBorder="1" applyAlignment="1">
      <alignment wrapText="1"/>
    </xf>
    <xf numFmtId="0" fontId="12" fillId="24" borderId="0" xfId="38" applyFont="1" applyFill="1" applyAlignment="1" applyProtection="1">
      <alignment horizontal="center" vertical="center"/>
      <protection hidden="1"/>
    </xf>
    <xf numFmtId="0" fontId="0" fillId="0" borderId="0" xfId="0" applyAlignment="1">
      <alignment horizontal="center" vertical="center"/>
    </xf>
    <xf numFmtId="0" fontId="6" fillId="24" borderId="0" xfId="38" applyFill="1" applyAlignment="1" applyProtection="1">
      <alignment horizontal="center" vertical="center"/>
      <protection hidden="1"/>
    </xf>
    <xf numFmtId="0" fontId="6" fillId="0" borderId="0" xfId="38" applyAlignment="1" applyProtection="1">
      <alignment horizontal="center" vertical="center"/>
    </xf>
    <xf numFmtId="0" fontId="6" fillId="0" borderId="0" xfId="38" applyAlignment="1" applyProtection="1">
      <alignment horizontal="center"/>
    </xf>
    <xf numFmtId="0" fontId="18" fillId="24" borderId="28" xfId="0" quotePrefix="1" applyFont="1" applyFill="1" applyBorder="1" applyAlignment="1" applyProtection="1">
      <protection hidden="1"/>
    </xf>
    <xf numFmtId="0" fontId="0" fillId="0" borderId="50" xfId="0" applyBorder="1" applyAlignment="1"/>
    <xf numFmtId="0" fontId="0" fillId="0" borderId="45" xfId="0" applyBorder="1" applyAlignment="1"/>
    <xf numFmtId="49" fontId="9" fillId="24" borderId="41" xfId="0" applyNumberFormat="1" applyFont="1" applyFill="1" applyBorder="1" applyAlignment="1" applyProtection="1">
      <alignment horizontal="center"/>
      <protection hidden="1"/>
    </xf>
    <xf numFmtId="0" fontId="0" fillId="0" borderId="48" xfId="0" applyBorder="1" applyAlignment="1">
      <alignment horizontal="center"/>
    </xf>
    <xf numFmtId="0" fontId="18" fillId="24" borderId="41" xfId="0" quotePrefix="1" applyFont="1" applyFill="1" applyBorder="1" applyAlignment="1" applyProtection="1">
      <protection hidden="1"/>
    </xf>
    <xf numFmtId="0" fontId="0" fillId="0" borderId="52" xfId="0" applyBorder="1" applyAlignment="1"/>
    <xf numFmtId="0" fontId="0" fillId="0" borderId="48" xfId="0" applyBorder="1" applyAlignment="1"/>
    <xf numFmtId="0" fontId="18" fillId="24" borderId="52" xfId="0" quotePrefix="1" applyFont="1" applyFill="1" applyBorder="1" applyAlignment="1" applyProtection="1">
      <protection hidden="1"/>
    </xf>
    <xf numFmtId="0" fontId="18" fillId="24" borderId="48" xfId="0" quotePrefix="1" applyFont="1" applyFill="1" applyBorder="1" applyAlignment="1" applyProtection="1">
      <protection hidden="1"/>
    </xf>
    <xf numFmtId="0" fontId="18" fillId="24" borderId="50" xfId="0" quotePrefix="1" applyFont="1" applyFill="1" applyBorder="1" applyAlignment="1" applyProtection="1">
      <protection hidden="1"/>
    </xf>
    <xf numFmtId="0" fontId="18" fillId="24" borderId="45" xfId="0" quotePrefix="1" applyFont="1" applyFill="1" applyBorder="1" applyAlignment="1" applyProtection="1">
      <protection hidden="1"/>
    </xf>
    <xf numFmtId="49" fontId="9" fillId="24" borderId="28" xfId="0" applyNumberFormat="1" applyFont="1" applyFill="1" applyBorder="1" applyAlignment="1" applyProtection="1">
      <alignment horizontal="center"/>
      <protection hidden="1"/>
    </xf>
    <xf numFmtId="0" fontId="0" fillId="0" borderId="45" xfId="0" applyBorder="1" applyAlignment="1">
      <alignment horizontal="center"/>
    </xf>
    <xf numFmtId="0" fontId="18" fillId="24" borderId="29" xfId="0" quotePrefix="1" applyFont="1" applyFill="1" applyBorder="1" applyAlignment="1" applyProtection="1">
      <protection hidden="1"/>
    </xf>
    <xf numFmtId="0" fontId="18" fillId="24" borderId="51" xfId="0" quotePrefix="1" applyFont="1" applyFill="1" applyBorder="1" applyAlignment="1" applyProtection="1">
      <protection hidden="1"/>
    </xf>
    <xf numFmtId="0" fontId="18" fillId="24" borderId="47" xfId="0" quotePrefix="1" applyFont="1" applyFill="1" applyBorder="1" applyAlignment="1" applyProtection="1">
      <protection hidden="1"/>
    </xf>
    <xf numFmtId="0" fontId="18" fillId="24" borderId="22" xfId="0" quotePrefix="1" applyFont="1" applyFill="1" applyBorder="1" applyAlignment="1" applyProtection="1">
      <protection hidden="1"/>
    </xf>
    <xf numFmtId="0" fontId="0" fillId="0" borderId="23" xfId="0" applyBorder="1" applyAlignment="1"/>
    <xf numFmtId="0" fontId="0" fillId="0" borderId="24" xfId="0" applyBorder="1" applyAlignment="1"/>
    <xf numFmtId="49" fontId="9" fillId="24" borderId="22" xfId="0" applyNumberFormat="1" applyFont="1" applyFill="1" applyBorder="1" applyAlignment="1" applyProtection="1">
      <alignment horizontal="center"/>
      <protection hidden="1"/>
    </xf>
    <xf numFmtId="0" fontId="0" fillId="0" borderId="24" xfId="0" applyBorder="1" applyAlignment="1">
      <alignment horizontal="center"/>
    </xf>
    <xf numFmtId="0" fontId="1" fillId="0" borderId="0" xfId="0" applyFont="1" applyBorder="1" applyAlignment="1">
      <alignment wrapText="1"/>
    </xf>
    <xf numFmtId="0" fontId="12" fillId="24" borderId="0" xfId="38" applyFont="1" applyFill="1" applyBorder="1" applyAlignment="1" applyProtection="1">
      <alignment horizontal="center" vertical="center"/>
      <protection hidden="1"/>
    </xf>
    <xf numFmtId="0" fontId="12" fillId="0" borderId="0" xfId="38" applyFont="1" applyBorder="1" applyAlignment="1" applyProtection="1">
      <alignment horizontal="center" vertical="center"/>
      <protection hidden="1"/>
    </xf>
    <xf numFmtId="2" fontId="9" fillId="28" borderId="22" xfId="44" applyNumberFormat="1" applyFont="1" applyFill="1" applyBorder="1" applyAlignment="1" applyProtection="1">
      <alignment horizontal="center" vertical="center"/>
      <protection hidden="1"/>
    </xf>
    <xf numFmtId="2" fontId="9" fillId="28" borderId="24" xfId="44" applyNumberFormat="1" applyFont="1" applyFill="1" applyBorder="1" applyAlignment="1" applyProtection="1">
      <alignment horizontal="center" vertical="center"/>
      <protection hidden="1"/>
    </xf>
    <xf numFmtId="0" fontId="18" fillId="24" borderId="28" xfId="44" applyFont="1" applyFill="1" applyBorder="1" applyAlignment="1" applyProtection="1">
      <alignment vertical="center"/>
      <protection hidden="1"/>
    </xf>
    <xf numFmtId="0" fontId="0" fillId="0" borderId="50" xfId="0" applyBorder="1" applyAlignment="1" applyProtection="1">
      <protection hidden="1"/>
    </xf>
    <xf numFmtId="0" fontId="0" fillId="0" borderId="45" xfId="0" applyBorder="1" applyAlignment="1" applyProtection="1">
      <protection hidden="1"/>
    </xf>
    <xf numFmtId="0" fontId="18" fillId="24" borderId="42" xfId="0" applyFont="1" applyFill="1" applyBorder="1" applyAlignment="1" applyProtection="1">
      <protection hidden="1"/>
    </xf>
    <xf numFmtId="0" fontId="0" fillId="0" borderId="49" xfId="0" applyBorder="1" applyAlignment="1" applyProtection="1">
      <protection hidden="1"/>
    </xf>
    <xf numFmtId="0" fontId="0" fillId="0" borderId="46" xfId="0" applyBorder="1" applyAlignment="1" applyProtection="1">
      <protection hidden="1"/>
    </xf>
    <xf numFmtId="0" fontId="18" fillId="24" borderId="29" xfId="0" applyFont="1" applyFill="1" applyBorder="1" applyAlignment="1" applyProtection="1">
      <protection hidden="1"/>
    </xf>
    <xf numFmtId="0" fontId="0" fillId="0" borderId="51" xfId="0" applyBorder="1" applyAlignment="1" applyProtection="1">
      <protection hidden="1"/>
    </xf>
    <xf numFmtId="0" fontId="0" fillId="0" borderId="47" xfId="0" applyBorder="1" applyAlignment="1" applyProtection="1">
      <protection hidden="1"/>
    </xf>
    <xf numFmtId="0" fontId="18" fillId="24" borderId="22" xfId="44" applyFont="1" applyFill="1" applyBorder="1" applyAlignment="1" applyProtection="1">
      <alignment vertical="center"/>
      <protection hidden="1"/>
    </xf>
    <xf numFmtId="0" fontId="0" fillId="0" borderId="23" xfId="0" applyBorder="1" applyAlignment="1" applyProtection="1">
      <protection hidden="1"/>
    </xf>
    <xf numFmtId="0" fontId="0" fillId="0" borderId="24" xfId="0" applyBorder="1" applyAlignment="1" applyProtection="1">
      <protection hidden="1"/>
    </xf>
    <xf numFmtId="0" fontId="6" fillId="29" borderId="0" xfId="38" applyFill="1" applyAlignment="1" applyProtection="1">
      <alignment horizontal="center"/>
      <protection hidden="1"/>
    </xf>
    <xf numFmtId="0" fontId="6" fillId="0" borderId="0" xfId="38" applyAlignment="1" applyProtection="1">
      <alignment horizontal="center" vertical="center"/>
      <protection hidden="1"/>
    </xf>
    <xf numFmtId="0" fontId="12" fillId="29" borderId="0" xfId="38" applyFont="1" applyFill="1" applyAlignment="1" applyProtection="1">
      <alignment horizontal="center" vertical="center"/>
      <protection hidden="1"/>
    </xf>
    <xf numFmtId="0" fontId="0" fillId="29" borderId="0" xfId="0" applyFill="1" applyAlignment="1" applyProtection="1">
      <alignment horizontal="center" vertical="center"/>
      <protection hidden="1"/>
    </xf>
    <xf numFmtId="0" fontId="18" fillId="24" borderId="42" xfId="44" applyFont="1" applyFill="1" applyBorder="1" applyAlignment="1" applyProtection="1">
      <alignment vertical="center"/>
      <protection hidden="1"/>
    </xf>
    <xf numFmtId="0" fontId="18" fillId="24" borderId="29" xfId="44" applyFont="1" applyFill="1" applyBorder="1" applyAlignment="1" applyProtection="1">
      <alignment vertical="center"/>
      <protection hidden="1"/>
    </xf>
    <xf numFmtId="0" fontId="14" fillId="29" borderId="0" xfId="0" applyFont="1" applyFill="1" applyBorder="1" applyAlignment="1" applyProtection="1">
      <alignment wrapText="1"/>
      <protection hidden="1"/>
    </xf>
    <xf numFmtId="0" fontId="100" fillId="29" borderId="0" xfId="0" applyFont="1" applyFill="1" applyBorder="1" applyAlignment="1" applyProtection="1">
      <alignment wrapText="1"/>
      <protection hidden="1"/>
    </xf>
    <xf numFmtId="0" fontId="0" fillId="0" borderId="0" xfId="0" applyBorder="1" applyAlignment="1" applyProtection="1">
      <alignment wrapText="1"/>
      <protection hidden="1"/>
    </xf>
    <xf numFmtId="0" fontId="0" fillId="0" borderId="16" xfId="0" applyBorder="1" applyAlignment="1" applyProtection="1">
      <alignment wrapText="1"/>
      <protection hidden="1"/>
    </xf>
    <xf numFmtId="0" fontId="10" fillId="29" borderId="0" xfId="0" applyFont="1" applyFill="1" applyBorder="1" applyAlignment="1" applyProtection="1">
      <alignment wrapText="1"/>
      <protection hidden="1"/>
    </xf>
    <xf numFmtId="0" fontId="6" fillId="29" borderId="0" xfId="38" applyFill="1" applyAlignment="1" applyProtection="1">
      <alignment horizontal="center" vertical="center"/>
      <protection hidden="1"/>
    </xf>
    <xf numFmtId="0" fontId="15" fillId="29" borderId="0" xfId="44" applyFont="1" applyFill="1" applyBorder="1" applyAlignment="1" applyProtection="1">
      <alignment vertical="top" wrapText="1"/>
      <protection hidden="1"/>
    </xf>
    <xf numFmtId="0" fontId="107" fillId="29" borderId="0" xfId="0" applyFont="1" applyFill="1" applyBorder="1" applyAlignment="1" applyProtection="1">
      <alignment wrapText="1"/>
      <protection hidden="1"/>
    </xf>
    <xf numFmtId="0" fontId="107" fillId="29" borderId="16" xfId="0" applyFont="1" applyFill="1" applyBorder="1" applyAlignment="1" applyProtection="1">
      <alignment wrapText="1"/>
      <protection hidden="1"/>
    </xf>
    <xf numFmtId="0" fontId="10" fillId="29" borderId="0" xfId="0" applyFont="1" applyFill="1" applyBorder="1" applyAlignment="1" applyProtection="1">
      <alignment vertical="top" wrapText="1"/>
      <protection hidden="1"/>
    </xf>
    <xf numFmtId="0" fontId="0" fillId="29" borderId="0" xfId="0" applyFill="1" applyBorder="1" applyAlignment="1" applyProtection="1">
      <alignment vertical="top" wrapText="1"/>
      <protection hidden="1"/>
    </xf>
    <xf numFmtId="0" fontId="18" fillId="24" borderId="58" xfId="0" applyFont="1" applyFill="1" applyBorder="1" applyAlignment="1" applyProtection="1">
      <protection hidden="1"/>
    </xf>
    <xf numFmtId="0" fontId="107" fillId="0" borderId="58" xfId="0" applyFont="1" applyBorder="1" applyAlignment="1" applyProtection="1">
      <protection hidden="1"/>
    </xf>
    <xf numFmtId="0" fontId="107" fillId="0" borderId="44" xfId="0" applyFont="1" applyBorder="1" applyAlignment="1" applyProtection="1">
      <protection hidden="1"/>
    </xf>
    <xf numFmtId="0" fontId="18" fillId="24" borderId="42" xfId="44" applyFont="1" applyFill="1" applyBorder="1" applyAlignment="1" applyProtection="1">
      <alignment horizontal="right" vertical="top"/>
      <protection hidden="1"/>
    </xf>
    <xf numFmtId="0" fontId="18" fillId="24" borderId="28" xfId="44" applyFont="1" applyFill="1" applyBorder="1" applyAlignment="1" applyProtection="1">
      <alignment horizontal="right" vertical="top"/>
      <protection hidden="1"/>
    </xf>
    <xf numFmtId="0" fontId="18" fillId="24" borderId="49" xfId="0" applyFont="1" applyFill="1" applyBorder="1" applyAlignment="1" applyProtection="1">
      <alignment wrapText="1"/>
      <protection hidden="1"/>
    </xf>
    <xf numFmtId="0" fontId="107" fillId="0" borderId="49" xfId="0" applyFont="1" applyBorder="1" applyAlignment="1" applyProtection="1">
      <alignment wrapText="1"/>
      <protection hidden="1"/>
    </xf>
    <xf numFmtId="0" fontId="107" fillId="0" borderId="46" xfId="0" applyFont="1" applyBorder="1" applyAlignment="1" applyProtection="1">
      <alignment wrapText="1"/>
      <protection hidden="1"/>
    </xf>
    <xf numFmtId="0" fontId="107" fillId="0" borderId="50" xfId="0" applyFont="1" applyBorder="1" applyAlignment="1" applyProtection="1">
      <alignment wrapText="1"/>
      <protection hidden="1"/>
    </xf>
    <xf numFmtId="0" fontId="107" fillId="0" borderId="45" xfId="0" applyFont="1" applyBorder="1" applyAlignment="1" applyProtection="1">
      <alignment wrapText="1"/>
      <protection hidden="1"/>
    </xf>
    <xf numFmtId="2" fontId="9" fillId="24" borderId="20" xfId="0" applyNumberFormat="1" applyFont="1" applyFill="1" applyBorder="1" applyAlignment="1" applyProtection="1">
      <alignment horizontal="center" vertical="center"/>
      <protection hidden="1"/>
    </xf>
    <xf numFmtId="0" fontId="0" fillId="0" borderId="25" xfId="0" applyBorder="1" applyAlignment="1" applyProtection="1">
      <alignment vertical="center"/>
      <protection hidden="1"/>
    </xf>
    <xf numFmtId="0" fontId="18" fillId="24" borderId="50" xfId="0" applyFont="1" applyFill="1" applyBorder="1" applyAlignment="1" applyProtection="1">
      <protection hidden="1"/>
    </xf>
    <xf numFmtId="0" fontId="107" fillId="0" borderId="50" xfId="0" applyFont="1" applyBorder="1" applyAlignment="1" applyProtection="1">
      <protection hidden="1"/>
    </xf>
    <xf numFmtId="0" fontId="107" fillId="0" borderId="45" xfId="0" applyFont="1" applyBorder="1" applyAlignment="1" applyProtection="1">
      <protection hidden="1"/>
    </xf>
    <xf numFmtId="2" fontId="18" fillId="24" borderId="28" xfId="44" applyNumberFormat="1" applyFont="1" applyFill="1" applyBorder="1" applyAlignment="1" applyProtection="1">
      <alignment horizontal="right" vertical="top"/>
      <protection hidden="1"/>
    </xf>
    <xf numFmtId="0" fontId="18" fillId="24" borderId="39" xfId="0" applyFont="1" applyFill="1" applyBorder="1" applyAlignment="1" applyProtection="1">
      <alignment wrapText="1"/>
      <protection hidden="1"/>
    </xf>
    <xf numFmtId="0" fontId="107" fillId="0" borderId="5" xfId="0" applyFont="1" applyBorder="1" applyAlignment="1" applyProtection="1">
      <alignment wrapText="1"/>
      <protection hidden="1"/>
    </xf>
    <xf numFmtId="0" fontId="107" fillId="0" borderId="34" xfId="0" applyFont="1" applyBorder="1" applyAlignment="1" applyProtection="1">
      <alignment wrapText="1"/>
      <protection hidden="1"/>
    </xf>
    <xf numFmtId="0" fontId="107" fillId="0" borderId="39" xfId="0" applyFont="1" applyBorder="1" applyAlignment="1" applyProtection="1">
      <alignment wrapText="1"/>
      <protection hidden="1"/>
    </xf>
    <xf numFmtId="2" fontId="9" fillId="24" borderId="8" xfId="0" applyNumberFormat="1" applyFont="1" applyFill="1" applyBorder="1" applyAlignment="1" applyProtection="1">
      <alignment horizontal="center" vertical="center"/>
      <protection hidden="1"/>
    </xf>
    <xf numFmtId="0" fontId="0" fillId="0" borderId="8" xfId="0" applyBorder="1" applyAlignment="1" applyProtection="1">
      <alignment vertical="center"/>
      <protection hidden="1"/>
    </xf>
    <xf numFmtId="0" fontId="0" fillId="0" borderId="28" xfId="0" applyBorder="1" applyAlignment="1" applyProtection="1">
      <alignment horizontal="right" vertical="top"/>
      <protection hidden="1"/>
    </xf>
    <xf numFmtId="2" fontId="18" fillId="24" borderId="29" xfId="44" applyNumberFormat="1" applyFont="1" applyFill="1" applyBorder="1" applyAlignment="1" applyProtection="1">
      <alignment horizontal="right" vertical="top"/>
      <protection hidden="1"/>
    </xf>
    <xf numFmtId="0" fontId="0" fillId="0" borderId="26" xfId="0" applyBorder="1" applyAlignment="1" applyProtection="1">
      <alignment vertical="center"/>
      <protection hidden="1"/>
    </xf>
    <xf numFmtId="0" fontId="14" fillId="24" borderId="0" xfId="0" applyFont="1" applyFill="1" applyBorder="1" applyAlignment="1" applyProtection="1">
      <alignment wrapText="1"/>
      <protection hidden="1"/>
    </xf>
    <xf numFmtId="0" fontId="14" fillId="24" borderId="0" xfId="0" applyFont="1" applyFill="1" applyBorder="1" applyAlignment="1" applyProtection="1">
      <alignment vertical="top" wrapText="1"/>
      <protection hidden="1"/>
    </xf>
    <xf numFmtId="0" fontId="0" fillId="24" borderId="0" xfId="0" applyFill="1" applyBorder="1" applyAlignment="1" applyProtection="1">
      <alignment vertical="top" wrapText="1"/>
      <protection hidden="1"/>
    </xf>
    <xf numFmtId="0" fontId="100" fillId="24" borderId="0" xfId="0" applyFont="1" applyFill="1" applyBorder="1" applyAlignment="1" applyProtection="1">
      <alignment wrapText="1"/>
      <protection hidden="1"/>
    </xf>
    <xf numFmtId="0" fontId="18" fillId="24" borderId="51" xfId="0" applyFont="1" applyFill="1" applyBorder="1" applyAlignment="1" applyProtection="1">
      <protection hidden="1"/>
    </xf>
    <xf numFmtId="0" fontId="107" fillId="0" borderId="51" xfId="0" applyFont="1" applyBorder="1" applyAlignment="1" applyProtection="1">
      <protection hidden="1"/>
    </xf>
    <xf numFmtId="0" fontId="107" fillId="0" borderId="47" xfId="0" applyFont="1" applyBorder="1" applyAlignment="1" applyProtection="1">
      <protection hidden="1"/>
    </xf>
  </cellXfs>
  <cellStyles count="5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0" xfId="28"/>
    <cellStyle name="Currency0" xfId="29"/>
    <cellStyle name="Date" xfId="30"/>
    <cellStyle name="Explanatory Text" xfId="31" builtinId="53" customBuiltin="1"/>
    <cellStyle name="Fixed" xfId="32"/>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38" builtinId="8"/>
    <cellStyle name="Input" xfId="39" builtinId="20" customBuiltin="1"/>
    <cellStyle name="Linked Cell" xfId="40" builtinId="24" customBuiltin="1"/>
    <cellStyle name="Neutral" xfId="41" builtinId="28" customBuiltin="1"/>
    <cellStyle name="Normal" xfId="0" builtinId="0"/>
    <cellStyle name="Normal_ASCE798W" xfId="42"/>
    <cellStyle name="Normal_BASEPLT9" xfId="43"/>
    <cellStyle name="Normal_CONNXJA-VERSION 1.0" xfId="44"/>
    <cellStyle name="Normal_CONNXJA-VERSION 1.0_Vertical Tanks or Vessels - DT" xfId="53"/>
    <cellStyle name="Normal_Sectprop" xfId="45"/>
    <cellStyle name="Normal_Seismic IBC 2000" xfId="46"/>
    <cellStyle name="Normal_USGS 1996 SA Values" xfId="47"/>
    <cellStyle name="Note" xfId="48" builtinId="10" customBuiltin="1"/>
    <cellStyle name="Output" xfId="49" builtinId="21" customBuiltin="1"/>
    <cellStyle name="Title" xfId="50" builtinId="15" customBuiltin="1"/>
    <cellStyle name="Total" xfId="51" builtinId="25" customBuiltin="1"/>
    <cellStyle name="Warning Text" xfId="52" builtinId="11" customBuiltin="1"/>
  </cellStyles>
  <dxfs count="2">
    <dxf>
      <font>
        <strike val="0"/>
        <condense val="0"/>
        <extend val="0"/>
        <color indexed="10"/>
      </font>
    </dxf>
    <dxf>
      <font>
        <condense val="0"/>
        <extend val="0"/>
        <color indexed="10"/>
      </font>
    </dxf>
  </dxfs>
  <tableStyles count="0" defaultTableStyle="TableStyleMedium9" defaultPivotStyle="PivotStyleLight16"/>
  <colors>
    <mruColors>
      <color rgb="FFFEDFD2"/>
      <color rgb="FFFDFED2"/>
      <color rgb="FFFBFBD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xdr:col>
      <xdr:colOff>542925</xdr:colOff>
      <xdr:row>13</xdr:row>
      <xdr:rowOff>152400</xdr:rowOff>
    </xdr:from>
    <xdr:to>
      <xdr:col>6</xdr:col>
      <xdr:colOff>114300</xdr:colOff>
      <xdr:row>15</xdr:row>
      <xdr:rowOff>9525</xdr:rowOff>
    </xdr:to>
    <xdr:sp macro="" textlink="">
      <xdr:nvSpPr>
        <xdr:cNvPr id="208902" name="Text Box 6"/>
        <xdr:cNvSpPr txBox="1">
          <a:spLocks noChangeArrowheads="1"/>
        </xdr:cNvSpPr>
      </xdr:nvSpPr>
      <xdr:spPr bwMode="auto">
        <a:xfrm>
          <a:off x="4248150" y="2295525"/>
          <a:ext cx="20002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FF"/>
              </a:solidFill>
              <a:latin typeface="Arial Greek"/>
              <a:cs typeface="Arial Greek"/>
            </a:rPr>
            <a:t>h</a:t>
          </a:r>
          <a:r>
            <a:rPr lang="en-US" sz="800" b="0" i="0" u="none" strike="noStrike" baseline="0">
              <a:solidFill>
                <a:srgbClr val="0000FF"/>
              </a:solidFill>
              <a:latin typeface="Arial Greek"/>
              <a:cs typeface="Arial Greek"/>
            </a:rPr>
            <a:t>n</a:t>
          </a:r>
        </a:p>
      </xdr:txBody>
    </xdr:sp>
    <xdr:clientData/>
  </xdr:twoCellAnchor>
  <xdr:twoCellAnchor>
    <xdr:from>
      <xdr:col>6</xdr:col>
      <xdr:colOff>0</xdr:colOff>
      <xdr:row>7</xdr:row>
      <xdr:rowOff>142875</xdr:rowOff>
    </xdr:from>
    <xdr:to>
      <xdr:col>8</xdr:col>
      <xdr:colOff>657225</xdr:colOff>
      <xdr:row>19</xdr:row>
      <xdr:rowOff>95250</xdr:rowOff>
    </xdr:to>
    <xdr:grpSp>
      <xdr:nvGrpSpPr>
        <xdr:cNvPr id="209486" name="Group 7"/>
        <xdr:cNvGrpSpPr>
          <a:grpSpLocks/>
        </xdr:cNvGrpSpPr>
      </xdr:nvGrpSpPr>
      <xdr:grpSpPr bwMode="auto">
        <a:xfrm>
          <a:off x="4333875" y="1314450"/>
          <a:ext cx="1838325" cy="1895475"/>
          <a:chOff x="451" y="138"/>
          <a:chExt cx="193" cy="199"/>
        </a:xfrm>
      </xdr:grpSpPr>
      <xdr:sp macro="" textlink="">
        <xdr:nvSpPr>
          <xdr:cNvPr id="209490" name="Rectangle 8"/>
          <xdr:cNvSpPr>
            <a:spLocks noChangeArrowheads="1"/>
          </xdr:cNvSpPr>
        </xdr:nvSpPr>
        <xdr:spPr bwMode="auto">
          <a:xfrm>
            <a:off x="485" y="148"/>
            <a:ext cx="86" cy="172"/>
          </a:xfrm>
          <a:prstGeom prst="rect">
            <a:avLst/>
          </a:prstGeom>
          <a:solidFill>
            <a:srgbClr val="FFFFFF"/>
          </a:solidFill>
          <a:ln w="9525">
            <a:solidFill>
              <a:srgbClr val="000000"/>
            </a:solidFill>
            <a:miter lim="800000"/>
            <a:headEnd/>
            <a:tailEnd/>
          </a:ln>
        </xdr:spPr>
      </xdr:sp>
      <xdr:sp macro="" textlink="">
        <xdr:nvSpPr>
          <xdr:cNvPr id="209491" name="Line 9"/>
          <xdr:cNvSpPr>
            <a:spLocks noChangeShapeType="1"/>
          </xdr:cNvSpPr>
        </xdr:nvSpPr>
        <xdr:spPr bwMode="auto">
          <a:xfrm>
            <a:off x="514" y="148"/>
            <a:ext cx="0" cy="172"/>
          </a:xfrm>
          <a:prstGeom prst="line">
            <a:avLst/>
          </a:prstGeom>
          <a:noFill/>
          <a:ln w="9525">
            <a:solidFill>
              <a:srgbClr val="000000"/>
            </a:solidFill>
            <a:round/>
            <a:headEnd/>
            <a:tailEnd/>
          </a:ln>
        </xdr:spPr>
      </xdr:sp>
      <xdr:sp macro="" textlink="">
        <xdr:nvSpPr>
          <xdr:cNvPr id="209492" name="Line 10"/>
          <xdr:cNvSpPr>
            <a:spLocks noChangeShapeType="1"/>
          </xdr:cNvSpPr>
        </xdr:nvSpPr>
        <xdr:spPr bwMode="auto">
          <a:xfrm>
            <a:off x="542" y="148"/>
            <a:ext cx="0" cy="172"/>
          </a:xfrm>
          <a:prstGeom prst="line">
            <a:avLst/>
          </a:prstGeom>
          <a:noFill/>
          <a:ln w="9525">
            <a:solidFill>
              <a:srgbClr val="000000"/>
            </a:solidFill>
            <a:round/>
            <a:headEnd/>
            <a:tailEnd/>
          </a:ln>
        </xdr:spPr>
      </xdr:sp>
      <xdr:sp macro="" textlink="">
        <xdr:nvSpPr>
          <xdr:cNvPr id="209493" name="Line 11"/>
          <xdr:cNvSpPr>
            <a:spLocks noChangeShapeType="1"/>
          </xdr:cNvSpPr>
        </xdr:nvSpPr>
        <xdr:spPr bwMode="auto">
          <a:xfrm>
            <a:off x="485" y="284"/>
            <a:ext cx="86" cy="0"/>
          </a:xfrm>
          <a:prstGeom prst="line">
            <a:avLst/>
          </a:prstGeom>
          <a:noFill/>
          <a:ln w="9525">
            <a:solidFill>
              <a:srgbClr val="000000"/>
            </a:solidFill>
            <a:round/>
            <a:headEnd/>
            <a:tailEnd/>
          </a:ln>
        </xdr:spPr>
      </xdr:sp>
      <xdr:sp macro="" textlink="">
        <xdr:nvSpPr>
          <xdr:cNvPr id="209494" name="Line 12"/>
          <xdr:cNvSpPr>
            <a:spLocks noChangeShapeType="1"/>
          </xdr:cNvSpPr>
        </xdr:nvSpPr>
        <xdr:spPr bwMode="auto">
          <a:xfrm>
            <a:off x="485" y="165"/>
            <a:ext cx="86" cy="0"/>
          </a:xfrm>
          <a:prstGeom prst="line">
            <a:avLst/>
          </a:prstGeom>
          <a:noFill/>
          <a:ln w="9525">
            <a:solidFill>
              <a:srgbClr val="000000"/>
            </a:solidFill>
            <a:round/>
            <a:headEnd/>
            <a:tailEnd/>
          </a:ln>
        </xdr:spPr>
      </xdr:sp>
      <xdr:sp macro="" textlink="">
        <xdr:nvSpPr>
          <xdr:cNvPr id="209495" name="Line 13"/>
          <xdr:cNvSpPr>
            <a:spLocks noChangeShapeType="1"/>
          </xdr:cNvSpPr>
        </xdr:nvSpPr>
        <xdr:spPr bwMode="auto">
          <a:xfrm>
            <a:off x="485" y="182"/>
            <a:ext cx="86" cy="0"/>
          </a:xfrm>
          <a:prstGeom prst="line">
            <a:avLst/>
          </a:prstGeom>
          <a:noFill/>
          <a:ln w="9525">
            <a:solidFill>
              <a:srgbClr val="000000"/>
            </a:solidFill>
            <a:round/>
            <a:headEnd/>
            <a:tailEnd/>
          </a:ln>
        </xdr:spPr>
      </xdr:sp>
      <xdr:sp macro="" textlink="">
        <xdr:nvSpPr>
          <xdr:cNvPr id="209496" name="Line 14"/>
          <xdr:cNvSpPr>
            <a:spLocks noChangeShapeType="1"/>
          </xdr:cNvSpPr>
        </xdr:nvSpPr>
        <xdr:spPr bwMode="auto">
          <a:xfrm>
            <a:off x="485" y="199"/>
            <a:ext cx="86" cy="0"/>
          </a:xfrm>
          <a:prstGeom prst="line">
            <a:avLst/>
          </a:prstGeom>
          <a:noFill/>
          <a:ln w="9525">
            <a:solidFill>
              <a:srgbClr val="000000"/>
            </a:solidFill>
            <a:round/>
            <a:headEnd/>
            <a:tailEnd/>
          </a:ln>
        </xdr:spPr>
      </xdr:sp>
      <xdr:sp macro="" textlink="">
        <xdr:nvSpPr>
          <xdr:cNvPr id="209497" name="Line 15"/>
          <xdr:cNvSpPr>
            <a:spLocks noChangeShapeType="1"/>
          </xdr:cNvSpPr>
        </xdr:nvSpPr>
        <xdr:spPr bwMode="auto">
          <a:xfrm>
            <a:off x="485" y="216"/>
            <a:ext cx="86" cy="0"/>
          </a:xfrm>
          <a:prstGeom prst="line">
            <a:avLst/>
          </a:prstGeom>
          <a:noFill/>
          <a:ln w="9525">
            <a:solidFill>
              <a:srgbClr val="000000"/>
            </a:solidFill>
            <a:round/>
            <a:headEnd/>
            <a:tailEnd/>
          </a:ln>
        </xdr:spPr>
      </xdr:sp>
      <xdr:sp macro="" textlink="">
        <xdr:nvSpPr>
          <xdr:cNvPr id="209498" name="Line 16"/>
          <xdr:cNvSpPr>
            <a:spLocks noChangeShapeType="1"/>
          </xdr:cNvSpPr>
        </xdr:nvSpPr>
        <xdr:spPr bwMode="auto">
          <a:xfrm>
            <a:off x="485" y="233"/>
            <a:ext cx="86" cy="0"/>
          </a:xfrm>
          <a:prstGeom prst="line">
            <a:avLst/>
          </a:prstGeom>
          <a:noFill/>
          <a:ln w="9525">
            <a:solidFill>
              <a:srgbClr val="000000"/>
            </a:solidFill>
            <a:round/>
            <a:headEnd/>
            <a:tailEnd/>
          </a:ln>
        </xdr:spPr>
      </xdr:sp>
      <xdr:sp macro="" textlink="">
        <xdr:nvSpPr>
          <xdr:cNvPr id="209499" name="Line 17"/>
          <xdr:cNvSpPr>
            <a:spLocks noChangeShapeType="1"/>
          </xdr:cNvSpPr>
        </xdr:nvSpPr>
        <xdr:spPr bwMode="auto">
          <a:xfrm>
            <a:off x="485" y="250"/>
            <a:ext cx="86" cy="0"/>
          </a:xfrm>
          <a:prstGeom prst="line">
            <a:avLst/>
          </a:prstGeom>
          <a:noFill/>
          <a:ln w="9525">
            <a:solidFill>
              <a:srgbClr val="000000"/>
            </a:solidFill>
            <a:round/>
            <a:headEnd/>
            <a:tailEnd/>
          </a:ln>
        </xdr:spPr>
      </xdr:sp>
      <xdr:sp macro="" textlink="">
        <xdr:nvSpPr>
          <xdr:cNvPr id="209500" name="Line 18"/>
          <xdr:cNvSpPr>
            <a:spLocks noChangeShapeType="1"/>
          </xdr:cNvSpPr>
        </xdr:nvSpPr>
        <xdr:spPr bwMode="auto">
          <a:xfrm>
            <a:off x="485" y="267"/>
            <a:ext cx="86" cy="0"/>
          </a:xfrm>
          <a:prstGeom prst="line">
            <a:avLst/>
          </a:prstGeom>
          <a:noFill/>
          <a:ln w="9525">
            <a:solidFill>
              <a:srgbClr val="000000"/>
            </a:solidFill>
            <a:round/>
            <a:headEnd/>
            <a:tailEnd/>
          </a:ln>
        </xdr:spPr>
      </xdr:sp>
      <xdr:sp macro="" textlink="">
        <xdr:nvSpPr>
          <xdr:cNvPr id="209501" name="Line 19"/>
          <xdr:cNvSpPr>
            <a:spLocks noChangeShapeType="1"/>
          </xdr:cNvSpPr>
        </xdr:nvSpPr>
        <xdr:spPr bwMode="auto">
          <a:xfrm>
            <a:off x="485" y="301"/>
            <a:ext cx="86" cy="0"/>
          </a:xfrm>
          <a:prstGeom prst="line">
            <a:avLst/>
          </a:prstGeom>
          <a:noFill/>
          <a:ln w="9525">
            <a:solidFill>
              <a:srgbClr val="000000"/>
            </a:solidFill>
            <a:round/>
            <a:headEnd/>
            <a:tailEnd/>
          </a:ln>
        </xdr:spPr>
      </xdr:sp>
      <xdr:sp macro="" textlink="">
        <xdr:nvSpPr>
          <xdr:cNvPr id="209502" name="Line 20"/>
          <xdr:cNvSpPr>
            <a:spLocks noChangeShapeType="1"/>
          </xdr:cNvSpPr>
        </xdr:nvSpPr>
        <xdr:spPr bwMode="auto">
          <a:xfrm flipH="1">
            <a:off x="574" y="284"/>
            <a:ext cx="14" cy="0"/>
          </a:xfrm>
          <a:prstGeom prst="line">
            <a:avLst/>
          </a:prstGeom>
          <a:noFill/>
          <a:ln w="9525">
            <a:solidFill>
              <a:srgbClr val="000000"/>
            </a:solidFill>
            <a:round/>
            <a:headEnd/>
            <a:tailEnd type="triangle" w="sm" len="med"/>
          </a:ln>
        </xdr:spPr>
      </xdr:sp>
      <xdr:sp macro="" textlink="">
        <xdr:nvSpPr>
          <xdr:cNvPr id="209503" name="Line 21"/>
          <xdr:cNvSpPr>
            <a:spLocks noChangeShapeType="1"/>
          </xdr:cNvSpPr>
        </xdr:nvSpPr>
        <xdr:spPr bwMode="auto">
          <a:xfrm flipH="1">
            <a:off x="574" y="267"/>
            <a:ext cx="16" cy="0"/>
          </a:xfrm>
          <a:prstGeom prst="line">
            <a:avLst/>
          </a:prstGeom>
          <a:noFill/>
          <a:ln w="9525">
            <a:solidFill>
              <a:srgbClr val="000000"/>
            </a:solidFill>
            <a:round/>
            <a:headEnd/>
            <a:tailEnd type="triangle" w="sm" len="med"/>
          </a:ln>
        </xdr:spPr>
      </xdr:sp>
      <xdr:sp macro="" textlink="">
        <xdr:nvSpPr>
          <xdr:cNvPr id="209504" name="Line 22"/>
          <xdr:cNvSpPr>
            <a:spLocks noChangeShapeType="1"/>
          </xdr:cNvSpPr>
        </xdr:nvSpPr>
        <xdr:spPr bwMode="auto">
          <a:xfrm flipH="1">
            <a:off x="574" y="250"/>
            <a:ext cx="20" cy="0"/>
          </a:xfrm>
          <a:prstGeom prst="line">
            <a:avLst/>
          </a:prstGeom>
          <a:noFill/>
          <a:ln w="9525">
            <a:solidFill>
              <a:srgbClr val="000000"/>
            </a:solidFill>
            <a:round/>
            <a:headEnd/>
            <a:tailEnd type="triangle" w="sm" len="med"/>
          </a:ln>
        </xdr:spPr>
      </xdr:sp>
      <xdr:sp macro="" textlink="">
        <xdr:nvSpPr>
          <xdr:cNvPr id="209505" name="Line 23"/>
          <xdr:cNvSpPr>
            <a:spLocks noChangeShapeType="1"/>
          </xdr:cNvSpPr>
        </xdr:nvSpPr>
        <xdr:spPr bwMode="auto">
          <a:xfrm flipH="1">
            <a:off x="574" y="233"/>
            <a:ext cx="26" cy="0"/>
          </a:xfrm>
          <a:prstGeom prst="line">
            <a:avLst/>
          </a:prstGeom>
          <a:noFill/>
          <a:ln w="9525">
            <a:solidFill>
              <a:srgbClr val="000000"/>
            </a:solidFill>
            <a:round/>
            <a:headEnd/>
            <a:tailEnd type="triangle" w="sm" len="med"/>
          </a:ln>
        </xdr:spPr>
      </xdr:sp>
      <xdr:sp macro="" textlink="">
        <xdr:nvSpPr>
          <xdr:cNvPr id="209506" name="Line 24"/>
          <xdr:cNvSpPr>
            <a:spLocks noChangeShapeType="1"/>
          </xdr:cNvSpPr>
        </xdr:nvSpPr>
        <xdr:spPr bwMode="auto">
          <a:xfrm flipH="1">
            <a:off x="574" y="216"/>
            <a:ext cx="30" cy="0"/>
          </a:xfrm>
          <a:prstGeom prst="line">
            <a:avLst/>
          </a:prstGeom>
          <a:noFill/>
          <a:ln w="9525">
            <a:solidFill>
              <a:srgbClr val="000000"/>
            </a:solidFill>
            <a:round/>
            <a:headEnd/>
            <a:tailEnd type="triangle" w="sm" len="med"/>
          </a:ln>
        </xdr:spPr>
      </xdr:sp>
      <xdr:sp macro="" textlink="">
        <xdr:nvSpPr>
          <xdr:cNvPr id="209507" name="Line 25"/>
          <xdr:cNvSpPr>
            <a:spLocks noChangeShapeType="1"/>
          </xdr:cNvSpPr>
        </xdr:nvSpPr>
        <xdr:spPr bwMode="auto">
          <a:xfrm flipH="1">
            <a:off x="574" y="199"/>
            <a:ext cx="34" cy="0"/>
          </a:xfrm>
          <a:prstGeom prst="line">
            <a:avLst/>
          </a:prstGeom>
          <a:noFill/>
          <a:ln w="9525">
            <a:solidFill>
              <a:srgbClr val="000000"/>
            </a:solidFill>
            <a:round/>
            <a:headEnd/>
            <a:tailEnd type="triangle" w="sm" len="med"/>
          </a:ln>
        </xdr:spPr>
      </xdr:sp>
      <xdr:sp macro="" textlink="">
        <xdr:nvSpPr>
          <xdr:cNvPr id="209508" name="Line 26"/>
          <xdr:cNvSpPr>
            <a:spLocks noChangeShapeType="1"/>
          </xdr:cNvSpPr>
        </xdr:nvSpPr>
        <xdr:spPr bwMode="auto">
          <a:xfrm flipH="1">
            <a:off x="574" y="182"/>
            <a:ext cx="37" cy="0"/>
          </a:xfrm>
          <a:prstGeom prst="line">
            <a:avLst/>
          </a:prstGeom>
          <a:noFill/>
          <a:ln w="9525">
            <a:solidFill>
              <a:srgbClr val="000000"/>
            </a:solidFill>
            <a:round/>
            <a:headEnd/>
            <a:tailEnd type="triangle" w="sm" len="med"/>
          </a:ln>
        </xdr:spPr>
      </xdr:sp>
      <xdr:sp macro="" textlink="">
        <xdr:nvSpPr>
          <xdr:cNvPr id="209509" name="Line 27"/>
          <xdr:cNvSpPr>
            <a:spLocks noChangeShapeType="1"/>
          </xdr:cNvSpPr>
        </xdr:nvSpPr>
        <xdr:spPr bwMode="auto">
          <a:xfrm flipH="1">
            <a:off x="574" y="165"/>
            <a:ext cx="42" cy="0"/>
          </a:xfrm>
          <a:prstGeom prst="line">
            <a:avLst/>
          </a:prstGeom>
          <a:noFill/>
          <a:ln w="9525">
            <a:solidFill>
              <a:srgbClr val="000000"/>
            </a:solidFill>
            <a:round/>
            <a:headEnd/>
            <a:tailEnd type="triangle" w="sm" len="med"/>
          </a:ln>
        </xdr:spPr>
      </xdr:sp>
      <xdr:sp macro="" textlink="">
        <xdr:nvSpPr>
          <xdr:cNvPr id="209510" name="Line 28"/>
          <xdr:cNvSpPr>
            <a:spLocks noChangeShapeType="1"/>
          </xdr:cNvSpPr>
        </xdr:nvSpPr>
        <xdr:spPr bwMode="auto">
          <a:xfrm flipH="1">
            <a:off x="574" y="148"/>
            <a:ext cx="45" cy="0"/>
          </a:xfrm>
          <a:prstGeom prst="line">
            <a:avLst/>
          </a:prstGeom>
          <a:noFill/>
          <a:ln w="9525">
            <a:solidFill>
              <a:srgbClr val="000000"/>
            </a:solidFill>
            <a:round/>
            <a:headEnd/>
            <a:tailEnd type="triangle" w="sm" len="med"/>
          </a:ln>
        </xdr:spPr>
      </xdr:sp>
      <xdr:sp macro="" textlink="">
        <xdr:nvSpPr>
          <xdr:cNvPr id="209511" name="Line 29"/>
          <xdr:cNvSpPr>
            <a:spLocks noChangeShapeType="1"/>
          </xdr:cNvSpPr>
        </xdr:nvSpPr>
        <xdr:spPr bwMode="auto">
          <a:xfrm flipH="1">
            <a:off x="574" y="301"/>
            <a:ext cx="12" cy="0"/>
          </a:xfrm>
          <a:prstGeom prst="line">
            <a:avLst/>
          </a:prstGeom>
          <a:noFill/>
          <a:ln w="9525">
            <a:solidFill>
              <a:srgbClr val="000000"/>
            </a:solidFill>
            <a:round/>
            <a:headEnd/>
            <a:tailEnd type="triangle" w="sm" len="med"/>
          </a:ln>
        </xdr:spPr>
      </xdr:sp>
      <xdr:sp macro="" textlink="">
        <xdr:nvSpPr>
          <xdr:cNvPr id="209512" name="Rectangle 30"/>
          <xdr:cNvSpPr>
            <a:spLocks noChangeArrowheads="1"/>
          </xdr:cNvSpPr>
        </xdr:nvSpPr>
        <xdr:spPr bwMode="auto">
          <a:xfrm>
            <a:off x="473" y="320"/>
            <a:ext cx="110" cy="8"/>
          </a:xfrm>
          <a:prstGeom prst="rect">
            <a:avLst/>
          </a:prstGeom>
          <a:solidFill>
            <a:srgbClr val="FFFFFF"/>
          </a:solidFill>
          <a:ln w="9525">
            <a:solidFill>
              <a:srgbClr val="000000"/>
            </a:solidFill>
            <a:miter lim="800000"/>
            <a:headEnd/>
            <a:tailEnd/>
          </a:ln>
        </xdr:spPr>
      </xdr:sp>
      <xdr:sp macro="" textlink="">
        <xdr:nvSpPr>
          <xdr:cNvPr id="209513" name="Line 31"/>
          <xdr:cNvSpPr>
            <a:spLocks noChangeShapeType="1"/>
          </xdr:cNvSpPr>
        </xdr:nvSpPr>
        <xdr:spPr bwMode="auto">
          <a:xfrm>
            <a:off x="488" y="337"/>
            <a:ext cx="82" cy="0"/>
          </a:xfrm>
          <a:prstGeom prst="line">
            <a:avLst/>
          </a:prstGeom>
          <a:noFill/>
          <a:ln w="19050">
            <a:solidFill>
              <a:srgbClr val="000000"/>
            </a:solidFill>
            <a:round/>
            <a:headEnd/>
            <a:tailEnd type="triangle" w="sm" len="med"/>
          </a:ln>
        </xdr:spPr>
      </xdr:sp>
      <xdr:sp macro="" textlink="">
        <xdr:nvSpPr>
          <xdr:cNvPr id="209514" name="Line 32"/>
          <xdr:cNvSpPr>
            <a:spLocks noChangeShapeType="1"/>
          </xdr:cNvSpPr>
        </xdr:nvSpPr>
        <xdr:spPr bwMode="auto">
          <a:xfrm>
            <a:off x="485" y="138"/>
            <a:ext cx="0" cy="10"/>
          </a:xfrm>
          <a:prstGeom prst="line">
            <a:avLst/>
          </a:prstGeom>
          <a:noFill/>
          <a:ln w="9525">
            <a:solidFill>
              <a:srgbClr val="000000"/>
            </a:solidFill>
            <a:round/>
            <a:headEnd/>
            <a:tailEnd type="stealth" w="sm" len="sm"/>
          </a:ln>
        </xdr:spPr>
      </xdr:sp>
      <xdr:sp macro="" textlink="">
        <xdr:nvSpPr>
          <xdr:cNvPr id="209515" name="Line 33"/>
          <xdr:cNvSpPr>
            <a:spLocks noChangeShapeType="1"/>
          </xdr:cNvSpPr>
        </xdr:nvSpPr>
        <xdr:spPr bwMode="auto">
          <a:xfrm>
            <a:off x="495" y="138"/>
            <a:ext cx="0" cy="10"/>
          </a:xfrm>
          <a:prstGeom prst="line">
            <a:avLst/>
          </a:prstGeom>
          <a:noFill/>
          <a:ln w="9525">
            <a:solidFill>
              <a:srgbClr val="000000"/>
            </a:solidFill>
            <a:round/>
            <a:headEnd/>
            <a:tailEnd type="stealth" w="sm" len="sm"/>
          </a:ln>
        </xdr:spPr>
      </xdr:sp>
      <xdr:sp macro="" textlink="">
        <xdr:nvSpPr>
          <xdr:cNvPr id="209516" name="Line 34"/>
          <xdr:cNvSpPr>
            <a:spLocks noChangeShapeType="1"/>
          </xdr:cNvSpPr>
        </xdr:nvSpPr>
        <xdr:spPr bwMode="auto">
          <a:xfrm>
            <a:off x="571" y="138"/>
            <a:ext cx="0" cy="10"/>
          </a:xfrm>
          <a:prstGeom prst="line">
            <a:avLst/>
          </a:prstGeom>
          <a:noFill/>
          <a:ln w="9525">
            <a:solidFill>
              <a:srgbClr val="000000"/>
            </a:solidFill>
            <a:round/>
            <a:headEnd/>
            <a:tailEnd type="stealth" w="sm" len="sm"/>
          </a:ln>
        </xdr:spPr>
      </xdr:sp>
      <xdr:sp macro="" textlink="">
        <xdr:nvSpPr>
          <xdr:cNvPr id="209517" name="Line 35"/>
          <xdr:cNvSpPr>
            <a:spLocks noChangeShapeType="1"/>
          </xdr:cNvSpPr>
        </xdr:nvSpPr>
        <xdr:spPr bwMode="auto">
          <a:xfrm>
            <a:off x="542" y="138"/>
            <a:ext cx="0" cy="10"/>
          </a:xfrm>
          <a:prstGeom prst="line">
            <a:avLst/>
          </a:prstGeom>
          <a:noFill/>
          <a:ln w="9525">
            <a:solidFill>
              <a:srgbClr val="000000"/>
            </a:solidFill>
            <a:round/>
            <a:headEnd/>
            <a:tailEnd type="stealth" w="sm" len="sm"/>
          </a:ln>
        </xdr:spPr>
      </xdr:sp>
      <xdr:sp macro="" textlink="">
        <xdr:nvSpPr>
          <xdr:cNvPr id="209518" name="Line 36"/>
          <xdr:cNvSpPr>
            <a:spLocks noChangeShapeType="1"/>
          </xdr:cNvSpPr>
        </xdr:nvSpPr>
        <xdr:spPr bwMode="auto">
          <a:xfrm>
            <a:off x="552" y="138"/>
            <a:ext cx="0" cy="10"/>
          </a:xfrm>
          <a:prstGeom prst="line">
            <a:avLst/>
          </a:prstGeom>
          <a:noFill/>
          <a:ln w="9525">
            <a:solidFill>
              <a:srgbClr val="000000"/>
            </a:solidFill>
            <a:round/>
            <a:headEnd/>
            <a:tailEnd type="stealth" w="sm" len="sm"/>
          </a:ln>
        </xdr:spPr>
      </xdr:sp>
      <xdr:sp macro="" textlink="">
        <xdr:nvSpPr>
          <xdr:cNvPr id="209519" name="Line 37"/>
          <xdr:cNvSpPr>
            <a:spLocks noChangeShapeType="1"/>
          </xdr:cNvSpPr>
        </xdr:nvSpPr>
        <xdr:spPr bwMode="auto">
          <a:xfrm>
            <a:off x="562" y="138"/>
            <a:ext cx="0" cy="10"/>
          </a:xfrm>
          <a:prstGeom prst="line">
            <a:avLst/>
          </a:prstGeom>
          <a:noFill/>
          <a:ln w="9525">
            <a:solidFill>
              <a:srgbClr val="000000"/>
            </a:solidFill>
            <a:round/>
            <a:headEnd/>
            <a:tailEnd type="stealth" w="sm" len="sm"/>
          </a:ln>
        </xdr:spPr>
      </xdr:sp>
      <xdr:sp macro="" textlink="">
        <xdr:nvSpPr>
          <xdr:cNvPr id="209520" name="Line 38"/>
          <xdr:cNvSpPr>
            <a:spLocks noChangeShapeType="1"/>
          </xdr:cNvSpPr>
        </xdr:nvSpPr>
        <xdr:spPr bwMode="auto">
          <a:xfrm>
            <a:off x="504" y="138"/>
            <a:ext cx="0" cy="10"/>
          </a:xfrm>
          <a:prstGeom prst="line">
            <a:avLst/>
          </a:prstGeom>
          <a:noFill/>
          <a:ln w="9525">
            <a:solidFill>
              <a:srgbClr val="000000"/>
            </a:solidFill>
            <a:round/>
            <a:headEnd/>
            <a:tailEnd type="stealth" w="sm" len="sm"/>
          </a:ln>
        </xdr:spPr>
      </xdr:sp>
      <xdr:sp macro="" textlink="">
        <xdr:nvSpPr>
          <xdr:cNvPr id="209521" name="Line 39"/>
          <xdr:cNvSpPr>
            <a:spLocks noChangeShapeType="1"/>
          </xdr:cNvSpPr>
        </xdr:nvSpPr>
        <xdr:spPr bwMode="auto">
          <a:xfrm>
            <a:off x="532" y="138"/>
            <a:ext cx="0" cy="10"/>
          </a:xfrm>
          <a:prstGeom prst="line">
            <a:avLst/>
          </a:prstGeom>
          <a:noFill/>
          <a:ln w="9525">
            <a:solidFill>
              <a:srgbClr val="000000"/>
            </a:solidFill>
            <a:round/>
            <a:headEnd/>
            <a:tailEnd type="stealth" w="sm" len="sm"/>
          </a:ln>
        </xdr:spPr>
      </xdr:sp>
      <xdr:sp macro="" textlink="">
        <xdr:nvSpPr>
          <xdr:cNvPr id="209522" name="Line 40"/>
          <xdr:cNvSpPr>
            <a:spLocks noChangeShapeType="1"/>
          </xdr:cNvSpPr>
        </xdr:nvSpPr>
        <xdr:spPr bwMode="auto">
          <a:xfrm>
            <a:off x="523" y="138"/>
            <a:ext cx="0" cy="10"/>
          </a:xfrm>
          <a:prstGeom prst="line">
            <a:avLst/>
          </a:prstGeom>
          <a:noFill/>
          <a:ln w="9525">
            <a:solidFill>
              <a:srgbClr val="000000"/>
            </a:solidFill>
            <a:round/>
            <a:headEnd/>
            <a:tailEnd type="stealth" w="sm" len="sm"/>
          </a:ln>
        </xdr:spPr>
      </xdr:sp>
      <xdr:sp macro="" textlink="">
        <xdr:nvSpPr>
          <xdr:cNvPr id="209523" name="Line 41"/>
          <xdr:cNvSpPr>
            <a:spLocks noChangeShapeType="1"/>
          </xdr:cNvSpPr>
        </xdr:nvSpPr>
        <xdr:spPr bwMode="auto">
          <a:xfrm>
            <a:off x="514" y="138"/>
            <a:ext cx="0" cy="10"/>
          </a:xfrm>
          <a:prstGeom prst="line">
            <a:avLst/>
          </a:prstGeom>
          <a:noFill/>
          <a:ln w="9525">
            <a:solidFill>
              <a:srgbClr val="000000"/>
            </a:solidFill>
            <a:round/>
            <a:headEnd/>
            <a:tailEnd type="stealth" w="sm" len="sm"/>
          </a:ln>
        </xdr:spPr>
      </xdr:sp>
      <xdr:sp macro="" textlink="">
        <xdr:nvSpPr>
          <xdr:cNvPr id="209524" name="Line 42"/>
          <xdr:cNvSpPr>
            <a:spLocks noChangeShapeType="1"/>
          </xdr:cNvSpPr>
        </xdr:nvSpPr>
        <xdr:spPr bwMode="auto">
          <a:xfrm>
            <a:off x="485" y="138"/>
            <a:ext cx="86" cy="0"/>
          </a:xfrm>
          <a:prstGeom prst="line">
            <a:avLst/>
          </a:prstGeom>
          <a:noFill/>
          <a:ln w="9525">
            <a:solidFill>
              <a:srgbClr val="000000"/>
            </a:solidFill>
            <a:round/>
            <a:headEnd/>
            <a:tailEnd/>
          </a:ln>
        </xdr:spPr>
      </xdr:sp>
      <xdr:sp macro="" textlink="">
        <xdr:nvSpPr>
          <xdr:cNvPr id="209525" name="Line 43"/>
          <xdr:cNvSpPr>
            <a:spLocks noChangeShapeType="1"/>
          </xdr:cNvSpPr>
        </xdr:nvSpPr>
        <xdr:spPr bwMode="auto">
          <a:xfrm flipH="1">
            <a:off x="452" y="148"/>
            <a:ext cx="28" cy="0"/>
          </a:xfrm>
          <a:prstGeom prst="line">
            <a:avLst/>
          </a:prstGeom>
          <a:noFill/>
          <a:ln w="9525">
            <a:solidFill>
              <a:srgbClr val="000000"/>
            </a:solidFill>
            <a:round/>
            <a:headEnd/>
            <a:tailEnd/>
          </a:ln>
        </xdr:spPr>
      </xdr:sp>
      <xdr:sp macro="" textlink="">
        <xdr:nvSpPr>
          <xdr:cNvPr id="209526" name="Line 44"/>
          <xdr:cNvSpPr>
            <a:spLocks noChangeShapeType="1"/>
          </xdr:cNvSpPr>
        </xdr:nvSpPr>
        <xdr:spPr bwMode="auto">
          <a:xfrm flipH="1">
            <a:off x="451" y="320"/>
            <a:ext cx="17" cy="0"/>
          </a:xfrm>
          <a:prstGeom prst="line">
            <a:avLst/>
          </a:prstGeom>
          <a:noFill/>
          <a:ln w="9525">
            <a:solidFill>
              <a:srgbClr val="000000"/>
            </a:solidFill>
            <a:round/>
            <a:headEnd/>
            <a:tailEnd/>
          </a:ln>
        </xdr:spPr>
      </xdr:sp>
      <xdr:sp macro="" textlink="">
        <xdr:nvSpPr>
          <xdr:cNvPr id="209527" name="Line 45"/>
          <xdr:cNvSpPr>
            <a:spLocks noChangeShapeType="1"/>
          </xdr:cNvSpPr>
        </xdr:nvSpPr>
        <xdr:spPr bwMode="auto">
          <a:xfrm>
            <a:off x="461" y="148"/>
            <a:ext cx="0" cy="172"/>
          </a:xfrm>
          <a:prstGeom prst="line">
            <a:avLst/>
          </a:prstGeom>
          <a:noFill/>
          <a:ln w="9525">
            <a:solidFill>
              <a:srgbClr val="000000"/>
            </a:solidFill>
            <a:round/>
            <a:headEnd type="stealth" w="sm" len="sm"/>
            <a:tailEnd type="stealth" w="sm" len="sm"/>
          </a:ln>
        </xdr:spPr>
      </xdr:sp>
      <xdr:sp macro="" textlink="">
        <xdr:nvSpPr>
          <xdr:cNvPr id="209528" name="Line 46"/>
          <xdr:cNvSpPr>
            <a:spLocks noChangeShapeType="1"/>
          </xdr:cNvSpPr>
        </xdr:nvSpPr>
        <xdr:spPr bwMode="auto">
          <a:xfrm flipV="1">
            <a:off x="623" y="275"/>
            <a:ext cx="0" cy="45"/>
          </a:xfrm>
          <a:prstGeom prst="line">
            <a:avLst/>
          </a:prstGeom>
          <a:noFill/>
          <a:ln w="9525">
            <a:solidFill>
              <a:srgbClr val="000000"/>
            </a:solidFill>
            <a:round/>
            <a:headEnd type="stealth" w="sm" len="sm"/>
            <a:tailEnd type="stealth" w="sm" len="sm"/>
          </a:ln>
        </xdr:spPr>
      </xdr:sp>
      <xdr:sp macro="" textlink="">
        <xdr:nvSpPr>
          <xdr:cNvPr id="209529" name="Line 47"/>
          <xdr:cNvSpPr>
            <a:spLocks noChangeShapeType="1"/>
          </xdr:cNvSpPr>
        </xdr:nvSpPr>
        <xdr:spPr bwMode="auto">
          <a:xfrm>
            <a:off x="587" y="320"/>
            <a:ext cx="46" cy="0"/>
          </a:xfrm>
          <a:prstGeom prst="line">
            <a:avLst/>
          </a:prstGeom>
          <a:noFill/>
          <a:ln w="9525">
            <a:solidFill>
              <a:srgbClr val="000000"/>
            </a:solidFill>
            <a:round/>
            <a:headEnd/>
            <a:tailEnd/>
          </a:ln>
        </xdr:spPr>
      </xdr:sp>
      <xdr:sp macro="" textlink="">
        <xdr:nvSpPr>
          <xdr:cNvPr id="208944" name="Text Box 48"/>
          <xdr:cNvSpPr txBox="1">
            <a:spLocks noChangeArrowheads="1"/>
          </xdr:cNvSpPr>
        </xdr:nvSpPr>
        <xdr:spPr bwMode="auto">
          <a:xfrm>
            <a:off x="623" y="288"/>
            <a:ext cx="21" cy="1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FF"/>
                </a:solidFill>
                <a:latin typeface="Arial Greek"/>
                <a:cs typeface="Arial Greek"/>
              </a:rPr>
              <a:t>h</a:t>
            </a:r>
            <a:r>
              <a:rPr lang="en-US" sz="800" b="0" i="0" u="none" strike="noStrike" baseline="0">
                <a:solidFill>
                  <a:srgbClr val="0000FF"/>
                </a:solidFill>
                <a:latin typeface="Arial Greek"/>
                <a:cs typeface="Arial Greek"/>
              </a:rPr>
              <a:t>x</a:t>
            </a:r>
          </a:p>
        </xdr:txBody>
      </xdr:sp>
    </xdr:grpSp>
    <xdr:clientData/>
  </xdr:twoCellAnchor>
  <xdr:twoCellAnchor>
    <xdr:from>
      <xdr:col>38</xdr:col>
      <xdr:colOff>0</xdr:colOff>
      <xdr:row>4</xdr:row>
      <xdr:rowOff>0</xdr:rowOff>
    </xdr:from>
    <xdr:to>
      <xdr:col>42</xdr:col>
      <xdr:colOff>0</xdr:colOff>
      <xdr:row>5</xdr:row>
      <xdr:rowOff>0</xdr:rowOff>
    </xdr:to>
    <xdr:sp macro="" textlink="">
      <xdr:nvSpPr>
        <xdr:cNvPr id="45" name="Rectangle 54"/>
        <xdr:cNvSpPr>
          <a:spLocks noChangeArrowheads="1"/>
        </xdr:cNvSpPr>
      </xdr:nvSpPr>
      <xdr:spPr bwMode="auto">
        <a:xfrm>
          <a:off x="28241625" y="685800"/>
          <a:ext cx="2819400" cy="1619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xmlns:mc="http://schemas.openxmlformats.org/markup-compatibility/2006" xmlns:a14="http://schemas.microsoft.com/office/drawing/2010/main" val="000000" mc:Ignorable="a14" a14:legacySpreadsheetColorIndex="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38</xdr:col>
      <xdr:colOff>0</xdr:colOff>
      <xdr:row>7</xdr:row>
      <xdr:rowOff>0</xdr:rowOff>
    </xdr:from>
    <xdr:to>
      <xdr:col>44</xdr:col>
      <xdr:colOff>0</xdr:colOff>
      <xdr:row>8</xdr:row>
      <xdr:rowOff>0</xdr:rowOff>
    </xdr:to>
    <xdr:sp macro="" textlink="">
      <xdr:nvSpPr>
        <xdr:cNvPr id="46" name="Rectangle 57"/>
        <xdr:cNvSpPr>
          <a:spLocks noChangeArrowheads="1"/>
        </xdr:cNvSpPr>
      </xdr:nvSpPr>
      <xdr:spPr bwMode="auto">
        <a:xfrm>
          <a:off x="28241625" y="1171575"/>
          <a:ext cx="4038600" cy="1619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xmlns:mc="http://schemas.openxmlformats.org/markup-compatibility/2006" xmlns:a14="http://schemas.microsoft.com/office/drawing/2010/main" val="000000" mc:Ignorable="a14" a14:legacySpreadsheetColorIndex="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542925</xdr:colOff>
      <xdr:row>12</xdr:row>
      <xdr:rowOff>152400</xdr:rowOff>
    </xdr:from>
    <xdr:to>
      <xdr:col>6</xdr:col>
      <xdr:colOff>114300</xdr:colOff>
      <xdr:row>14</xdr:row>
      <xdr:rowOff>9525</xdr:rowOff>
    </xdr:to>
    <xdr:sp macro="" textlink="">
      <xdr:nvSpPr>
        <xdr:cNvPr id="214018" name="Text Box 2"/>
        <xdr:cNvSpPr txBox="1">
          <a:spLocks noChangeArrowheads="1"/>
        </xdr:cNvSpPr>
      </xdr:nvSpPr>
      <xdr:spPr bwMode="auto">
        <a:xfrm>
          <a:off x="4248150" y="2133600"/>
          <a:ext cx="20002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FF"/>
              </a:solidFill>
              <a:latin typeface="Arial Greek"/>
              <a:cs typeface="Arial Greek"/>
            </a:rPr>
            <a:t>h</a:t>
          </a:r>
          <a:r>
            <a:rPr lang="en-US" sz="800" b="0" i="0" u="none" strike="noStrike" baseline="0">
              <a:solidFill>
                <a:srgbClr val="0000FF"/>
              </a:solidFill>
              <a:latin typeface="Arial Greek"/>
              <a:cs typeface="Arial Greek"/>
            </a:rPr>
            <a:t>n</a:t>
          </a:r>
        </a:p>
      </xdr:txBody>
    </xdr:sp>
    <xdr:clientData/>
  </xdr:twoCellAnchor>
  <xdr:twoCellAnchor>
    <xdr:from>
      <xdr:col>6</xdr:col>
      <xdr:colOff>0</xdr:colOff>
      <xdr:row>8</xdr:row>
      <xdr:rowOff>9525</xdr:rowOff>
    </xdr:from>
    <xdr:to>
      <xdr:col>8</xdr:col>
      <xdr:colOff>657225</xdr:colOff>
      <xdr:row>19</xdr:row>
      <xdr:rowOff>9525</xdr:rowOff>
    </xdr:to>
    <xdr:grpSp>
      <xdr:nvGrpSpPr>
        <xdr:cNvPr id="214625" name="Group 3"/>
        <xdr:cNvGrpSpPr>
          <a:grpSpLocks/>
        </xdr:cNvGrpSpPr>
      </xdr:nvGrpSpPr>
      <xdr:grpSpPr bwMode="auto">
        <a:xfrm>
          <a:off x="4333875" y="1343025"/>
          <a:ext cx="1914525" cy="1781175"/>
          <a:chOff x="451" y="141"/>
          <a:chExt cx="201" cy="187"/>
        </a:xfrm>
      </xdr:grpSpPr>
      <xdr:sp macro="" textlink="">
        <xdr:nvSpPr>
          <xdr:cNvPr id="214629" name="Rectangle 4"/>
          <xdr:cNvSpPr>
            <a:spLocks noChangeArrowheads="1"/>
          </xdr:cNvSpPr>
        </xdr:nvSpPr>
        <xdr:spPr bwMode="auto">
          <a:xfrm>
            <a:off x="485" y="148"/>
            <a:ext cx="86" cy="172"/>
          </a:xfrm>
          <a:prstGeom prst="rect">
            <a:avLst/>
          </a:prstGeom>
          <a:solidFill>
            <a:srgbClr val="FFFFFF"/>
          </a:solidFill>
          <a:ln w="9525">
            <a:solidFill>
              <a:srgbClr val="000000"/>
            </a:solidFill>
            <a:miter lim="800000"/>
            <a:headEnd/>
            <a:tailEnd/>
          </a:ln>
        </xdr:spPr>
      </xdr:sp>
      <xdr:sp macro="" textlink="">
        <xdr:nvSpPr>
          <xdr:cNvPr id="214630" name="Line 5"/>
          <xdr:cNvSpPr>
            <a:spLocks noChangeShapeType="1"/>
          </xdr:cNvSpPr>
        </xdr:nvSpPr>
        <xdr:spPr bwMode="auto">
          <a:xfrm>
            <a:off x="514" y="148"/>
            <a:ext cx="0" cy="172"/>
          </a:xfrm>
          <a:prstGeom prst="line">
            <a:avLst/>
          </a:prstGeom>
          <a:noFill/>
          <a:ln w="9525">
            <a:solidFill>
              <a:srgbClr val="000000"/>
            </a:solidFill>
            <a:round/>
            <a:headEnd/>
            <a:tailEnd/>
          </a:ln>
        </xdr:spPr>
      </xdr:sp>
      <xdr:sp macro="" textlink="">
        <xdr:nvSpPr>
          <xdr:cNvPr id="214631" name="Line 6"/>
          <xdr:cNvSpPr>
            <a:spLocks noChangeShapeType="1"/>
          </xdr:cNvSpPr>
        </xdr:nvSpPr>
        <xdr:spPr bwMode="auto">
          <a:xfrm>
            <a:off x="542" y="148"/>
            <a:ext cx="0" cy="172"/>
          </a:xfrm>
          <a:prstGeom prst="line">
            <a:avLst/>
          </a:prstGeom>
          <a:noFill/>
          <a:ln w="9525">
            <a:solidFill>
              <a:srgbClr val="000000"/>
            </a:solidFill>
            <a:round/>
            <a:headEnd/>
            <a:tailEnd/>
          </a:ln>
        </xdr:spPr>
      </xdr:sp>
      <xdr:sp macro="" textlink="">
        <xdr:nvSpPr>
          <xdr:cNvPr id="214632" name="Line 7"/>
          <xdr:cNvSpPr>
            <a:spLocks noChangeShapeType="1"/>
          </xdr:cNvSpPr>
        </xdr:nvSpPr>
        <xdr:spPr bwMode="auto">
          <a:xfrm>
            <a:off x="485" y="284"/>
            <a:ext cx="86" cy="0"/>
          </a:xfrm>
          <a:prstGeom prst="line">
            <a:avLst/>
          </a:prstGeom>
          <a:noFill/>
          <a:ln w="9525">
            <a:solidFill>
              <a:srgbClr val="000000"/>
            </a:solidFill>
            <a:round/>
            <a:headEnd/>
            <a:tailEnd/>
          </a:ln>
        </xdr:spPr>
      </xdr:sp>
      <xdr:sp macro="" textlink="">
        <xdr:nvSpPr>
          <xdr:cNvPr id="214633" name="Line 8"/>
          <xdr:cNvSpPr>
            <a:spLocks noChangeShapeType="1"/>
          </xdr:cNvSpPr>
        </xdr:nvSpPr>
        <xdr:spPr bwMode="auto">
          <a:xfrm>
            <a:off x="485" y="165"/>
            <a:ext cx="86" cy="0"/>
          </a:xfrm>
          <a:prstGeom prst="line">
            <a:avLst/>
          </a:prstGeom>
          <a:noFill/>
          <a:ln w="9525">
            <a:solidFill>
              <a:srgbClr val="000000"/>
            </a:solidFill>
            <a:round/>
            <a:headEnd/>
            <a:tailEnd/>
          </a:ln>
        </xdr:spPr>
      </xdr:sp>
      <xdr:sp macro="" textlink="">
        <xdr:nvSpPr>
          <xdr:cNvPr id="214634" name="Line 9"/>
          <xdr:cNvSpPr>
            <a:spLocks noChangeShapeType="1"/>
          </xdr:cNvSpPr>
        </xdr:nvSpPr>
        <xdr:spPr bwMode="auto">
          <a:xfrm>
            <a:off x="485" y="182"/>
            <a:ext cx="86" cy="0"/>
          </a:xfrm>
          <a:prstGeom prst="line">
            <a:avLst/>
          </a:prstGeom>
          <a:noFill/>
          <a:ln w="9525">
            <a:solidFill>
              <a:srgbClr val="000000"/>
            </a:solidFill>
            <a:round/>
            <a:headEnd/>
            <a:tailEnd/>
          </a:ln>
        </xdr:spPr>
      </xdr:sp>
      <xdr:sp macro="" textlink="">
        <xdr:nvSpPr>
          <xdr:cNvPr id="214635" name="Line 10"/>
          <xdr:cNvSpPr>
            <a:spLocks noChangeShapeType="1"/>
          </xdr:cNvSpPr>
        </xdr:nvSpPr>
        <xdr:spPr bwMode="auto">
          <a:xfrm>
            <a:off x="485" y="199"/>
            <a:ext cx="86" cy="0"/>
          </a:xfrm>
          <a:prstGeom prst="line">
            <a:avLst/>
          </a:prstGeom>
          <a:noFill/>
          <a:ln w="9525">
            <a:solidFill>
              <a:srgbClr val="000000"/>
            </a:solidFill>
            <a:round/>
            <a:headEnd/>
            <a:tailEnd/>
          </a:ln>
        </xdr:spPr>
      </xdr:sp>
      <xdr:sp macro="" textlink="">
        <xdr:nvSpPr>
          <xdr:cNvPr id="214636" name="Line 11"/>
          <xdr:cNvSpPr>
            <a:spLocks noChangeShapeType="1"/>
          </xdr:cNvSpPr>
        </xdr:nvSpPr>
        <xdr:spPr bwMode="auto">
          <a:xfrm>
            <a:off x="485" y="216"/>
            <a:ext cx="86" cy="0"/>
          </a:xfrm>
          <a:prstGeom prst="line">
            <a:avLst/>
          </a:prstGeom>
          <a:noFill/>
          <a:ln w="9525">
            <a:solidFill>
              <a:srgbClr val="000000"/>
            </a:solidFill>
            <a:round/>
            <a:headEnd/>
            <a:tailEnd/>
          </a:ln>
        </xdr:spPr>
      </xdr:sp>
      <xdr:sp macro="" textlink="">
        <xdr:nvSpPr>
          <xdr:cNvPr id="214637" name="Line 12"/>
          <xdr:cNvSpPr>
            <a:spLocks noChangeShapeType="1"/>
          </xdr:cNvSpPr>
        </xdr:nvSpPr>
        <xdr:spPr bwMode="auto">
          <a:xfrm>
            <a:off x="485" y="233"/>
            <a:ext cx="86" cy="0"/>
          </a:xfrm>
          <a:prstGeom prst="line">
            <a:avLst/>
          </a:prstGeom>
          <a:noFill/>
          <a:ln w="9525">
            <a:solidFill>
              <a:srgbClr val="000000"/>
            </a:solidFill>
            <a:round/>
            <a:headEnd/>
            <a:tailEnd/>
          </a:ln>
        </xdr:spPr>
      </xdr:sp>
      <xdr:sp macro="" textlink="">
        <xdr:nvSpPr>
          <xdr:cNvPr id="214638" name="Line 13"/>
          <xdr:cNvSpPr>
            <a:spLocks noChangeShapeType="1"/>
          </xdr:cNvSpPr>
        </xdr:nvSpPr>
        <xdr:spPr bwMode="auto">
          <a:xfrm>
            <a:off x="485" y="250"/>
            <a:ext cx="86" cy="0"/>
          </a:xfrm>
          <a:prstGeom prst="line">
            <a:avLst/>
          </a:prstGeom>
          <a:noFill/>
          <a:ln w="9525">
            <a:solidFill>
              <a:srgbClr val="000000"/>
            </a:solidFill>
            <a:round/>
            <a:headEnd/>
            <a:tailEnd/>
          </a:ln>
        </xdr:spPr>
      </xdr:sp>
      <xdr:sp macro="" textlink="">
        <xdr:nvSpPr>
          <xdr:cNvPr id="214639" name="Line 14"/>
          <xdr:cNvSpPr>
            <a:spLocks noChangeShapeType="1"/>
          </xdr:cNvSpPr>
        </xdr:nvSpPr>
        <xdr:spPr bwMode="auto">
          <a:xfrm>
            <a:off x="485" y="267"/>
            <a:ext cx="86" cy="0"/>
          </a:xfrm>
          <a:prstGeom prst="line">
            <a:avLst/>
          </a:prstGeom>
          <a:noFill/>
          <a:ln w="9525">
            <a:solidFill>
              <a:srgbClr val="000000"/>
            </a:solidFill>
            <a:round/>
            <a:headEnd/>
            <a:tailEnd/>
          </a:ln>
        </xdr:spPr>
      </xdr:sp>
      <xdr:sp macro="" textlink="">
        <xdr:nvSpPr>
          <xdr:cNvPr id="214640" name="Line 15"/>
          <xdr:cNvSpPr>
            <a:spLocks noChangeShapeType="1"/>
          </xdr:cNvSpPr>
        </xdr:nvSpPr>
        <xdr:spPr bwMode="auto">
          <a:xfrm>
            <a:off x="485" y="301"/>
            <a:ext cx="86" cy="0"/>
          </a:xfrm>
          <a:prstGeom prst="line">
            <a:avLst/>
          </a:prstGeom>
          <a:noFill/>
          <a:ln w="9525">
            <a:solidFill>
              <a:srgbClr val="000000"/>
            </a:solidFill>
            <a:round/>
            <a:headEnd/>
            <a:tailEnd/>
          </a:ln>
        </xdr:spPr>
      </xdr:sp>
      <xdr:sp macro="" textlink="">
        <xdr:nvSpPr>
          <xdr:cNvPr id="214641" name="Line 16"/>
          <xdr:cNvSpPr>
            <a:spLocks noChangeShapeType="1"/>
          </xdr:cNvSpPr>
        </xdr:nvSpPr>
        <xdr:spPr bwMode="auto">
          <a:xfrm flipH="1">
            <a:off x="571" y="284"/>
            <a:ext cx="20" cy="0"/>
          </a:xfrm>
          <a:prstGeom prst="line">
            <a:avLst/>
          </a:prstGeom>
          <a:noFill/>
          <a:ln w="9525">
            <a:solidFill>
              <a:srgbClr val="000000"/>
            </a:solidFill>
            <a:round/>
            <a:headEnd/>
            <a:tailEnd type="stealth" w="sm" len="sm"/>
          </a:ln>
        </xdr:spPr>
      </xdr:sp>
      <xdr:sp macro="" textlink="">
        <xdr:nvSpPr>
          <xdr:cNvPr id="214642" name="Line 17"/>
          <xdr:cNvSpPr>
            <a:spLocks noChangeShapeType="1"/>
          </xdr:cNvSpPr>
        </xdr:nvSpPr>
        <xdr:spPr bwMode="auto">
          <a:xfrm flipH="1">
            <a:off x="571" y="267"/>
            <a:ext cx="21" cy="0"/>
          </a:xfrm>
          <a:prstGeom prst="line">
            <a:avLst/>
          </a:prstGeom>
          <a:noFill/>
          <a:ln w="9525">
            <a:solidFill>
              <a:srgbClr val="000000"/>
            </a:solidFill>
            <a:round/>
            <a:headEnd/>
            <a:tailEnd type="stealth" w="sm" len="sm"/>
          </a:ln>
        </xdr:spPr>
      </xdr:sp>
      <xdr:sp macro="" textlink="">
        <xdr:nvSpPr>
          <xdr:cNvPr id="214643" name="Line 18"/>
          <xdr:cNvSpPr>
            <a:spLocks noChangeShapeType="1"/>
          </xdr:cNvSpPr>
        </xdr:nvSpPr>
        <xdr:spPr bwMode="auto">
          <a:xfrm flipH="1">
            <a:off x="571" y="250"/>
            <a:ext cx="25" cy="0"/>
          </a:xfrm>
          <a:prstGeom prst="line">
            <a:avLst/>
          </a:prstGeom>
          <a:noFill/>
          <a:ln w="9525">
            <a:solidFill>
              <a:srgbClr val="000000"/>
            </a:solidFill>
            <a:round/>
            <a:headEnd/>
            <a:tailEnd type="stealth" w="sm" len="sm"/>
          </a:ln>
        </xdr:spPr>
      </xdr:sp>
      <xdr:sp macro="" textlink="">
        <xdr:nvSpPr>
          <xdr:cNvPr id="214644" name="Line 19"/>
          <xdr:cNvSpPr>
            <a:spLocks noChangeShapeType="1"/>
          </xdr:cNvSpPr>
        </xdr:nvSpPr>
        <xdr:spPr bwMode="auto">
          <a:xfrm flipH="1">
            <a:off x="571" y="233"/>
            <a:ext cx="31" cy="0"/>
          </a:xfrm>
          <a:prstGeom prst="line">
            <a:avLst/>
          </a:prstGeom>
          <a:noFill/>
          <a:ln w="9525">
            <a:solidFill>
              <a:srgbClr val="000000"/>
            </a:solidFill>
            <a:round/>
            <a:headEnd/>
            <a:tailEnd type="stealth" w="sm" len="sm"/>
          </a:ln>
        </xdr:spPr>
      </xdr:sp>
      <xdr:sp macro="" textlink="">
        <xdr:nvSpPr>
          <xdr:cNvPr id="214645" name="Line 20"/>
          <xdr:cNvSpPr>
            <a:spLocks noChangeShapeType="1"/>
          </xdr:cNvSpPr>
        </xdr:nvSpPr>
        <xdr:spPr bwMode="auto">
          <a:xfrm flipH="1">
            <a:off x="571" y="216"/>
            <a:ext cx="35" cy="0"/>
          </a:xfrm>
          <a:prstGeom prst="line">
            <a:avLst/>
          </a:prstGeom>
          <a:noFill/>
          <a:ln w="9525">
            <a:solidFill>
              <a:srgbClr val="000000"/>
            </a:solidFill>
            <a:round/>
            <a:headEnd/>
            <a:tailEnd type="stealth" w="sm" len="sm"/>
          </a:ln>
        </xdr:spPr>
      </xdr:sp>
      <xdr:sp macro="" textlink="">
        <xdr:nvSpPr>
          <xdr:cNvPr id="214646" name="Line 21"/>
          <xdr:cNvSpPr>
            <a:spLocks noChangeShapeType="1"/>
          </xdr:cNvSpPr>
        </xdr:nvSpPr>
        <xdr:spPr bwMode="auto">
          <a:xfrm flipH="1">
            <a:off x="571" y="199"/>
            <a:ext cx="39" cy="0"/>
          </a:xfrm>
          <a:prstGeom prst="line">
            <a:avLst/>
          </a:prstGeom>
          <a:noFill/>
          <a:ln w="9525">
            <a:solidFill>
              <a:srgbClr val="000000"/>
            </a:solidFill>
            <a:round/>
            <a:headEnd/>
            <a:tailEnd type="stealth" w="sm" len="sm"/>
          </a:ln>
        </xdr:spPr>
      </xdr:sp>
      <xdr:sp macro="" textlink="">
        <xdr:nvSpPr>
          <xdr:cNvPr id="214647" name="Line 22"/>
          <xdr:cNvSpPr>
            <a:spLocks noChangeShapeType="1"/>
          </xdr:cNvSpPr>
        </xdr:nvSpPr>
        <xdr:spPr bwMode="auto">
          <a:xfrm flipH="1">
            <a:off x="571" y="182"/>
            <a:ext cx="47" cy="0"/>
          </a:xfrm>
          <a:prstGeom prst="line">
            <a:avLst/>
          </a:prstGeom>
          <a:noFill/>
          <a:ln w="9525">
            <a:solidFill>
              <a:srgbClr val="000000"/>
            </a:solidFill>
            <a:round/>
            <a:headEnd/>
            <a:tailEnd type="stealth" w="sm" len="sm"/>
          </a:ln>
        </xdr:spPr>
      </xdr:sp>
      <xdr:sp macro="" textlink="">
        <xdr:nvSpPr>
          <xdr:cNvPr id="214648" name="Line 23"/>
          <xdr:cNvSpPr>
            <a:spLocks noChangeShapeType="1"/>
          </xdr:cNvSpPr>
        </xdr:nvSpPr>
        <xdr:spPr bwMode="auto">
          <a:xfrm flipH="1">
            <a:off x="571" y="165"/>
            <a:ext cx="52" cy="0"/>
          </a:xfrm>
          <a:prstGeom prst="line">
            <a:avLst/>
          </a:prstGeom>
          <a:noFill/>
          <a:ln w="9525">
            <a:solidFill>
              <a:srgbClr val="000000"/>
            </a:solidFill>
            <a:round/>
            <a:headEnd/>
            <a:tailEnd type="stealth" w="sm" len="sm"/>
          </a:ln>
        </xdr:spPr>
      </xdr:sp>
      <xdr:sp macro="" textlink="">
        <xdr:nvSpPr>
          <xdr:cNvPr id="214649" name="Line 24"/>
          <xdr:cNvSpPr>
            <a:spLocks noChangeShapeType="1"/>
          </xdr:cNvSpPr>
        </xdr:nvSpPr>
        <xdr:spPr bwMode="auto">
          <a:xfrm flipH="1">
            <a:off x="571" y="148"/>
            <a:ext cx="55" cy="0"/>
          </a:xfrm>
          <a:prstGeom prst="line">
            <a:avLst/>
          </a:prstGeom>
          <a:noFill/>
          <a:ln w="9525">
            <a:solidFill>
              <a:srgbClr val="000000"/>
            </a:solidFill>
            <a:round/>
            <a:headEnd/>
            <a:tailEnd type="stealth" w="sm" len="sm"/>
          </a:ln>
        </xdr:spPr>
      </xdr:sp>
      <xdr:sp macro="" textlink="">
        <xdr:nvSpPr>
          <xdr:cNvPr id="214650" name="Line 25"/>
          <xdr:cNvSpPr>
            <a:spLocks noChangeShapeType="1"/>
          </xdr:cNvSpPr>
        </xdr:nvSpPr>
        <xdr:spPr bwMode="auto">
          <a:xfrm flipH="1">
            <a:off x="571" y="301"/>
            <a:ext cx="18" cy="0"/>
          </a:xfrm>
          <a:prstGeom prst="line">
            <a:avLst/>
          </a:prstGeom>
          <a:noFill/>
          <a:ln w="9525">
            <a:solidFill>
              <a:srgbClr val="000000"/>
            </a:solidFill>
            <a:round/>
            <a:headEnd/>
            <a:tailEnd type="stealth" w="sm" len="sm"/>
          </a:ln>
        </xdr:spPr>
      </xdr:sp>
      <xdr:sp macro="" textlink="">
        <xdr:nvSpPr>
          <xdr:cNvPr id="214651" name="Rectangle 26"/>
          <xdr:cNvSpPr>
            <a:spLocks noChangeArrowheads="1"/>
          </xdr:cNvSpPr>
        </xdr:nvSpPr>
        <xdr:spPr bwMode="auto">
          <a:xfrm>
            <a:off x="473" y="320"/>
            <a:ext cx="118" cy="8"/>
          </a:xfrm>
          <a:prstGeom prst="rect">
            <a:avLst/>
          </a:prstGeom>
          <a:solidFill>
            <a:srgbClr val="FFFFFF"/>
          </a:solidFill>
          <a:ln w="9525">
            <a:solidFill>
              <a:srgbClr val="000000"/>
            </a:solidFill>
            <a:miter lim="800000"/>
            <a:headEnd/>
            <a:tailEnd/>
          </a:ln>
        </xdr:spPr>
      </xdr:sp>
      <xdr:sp macro="" textlink="">
        <xdr:nvSpPr>
          <xdr:cNvPr id="214652" name="Line 27"/>
          <xdr:cNvSpPr>
            <a:spLocks noChangeShapeType="1"/>
          </xdr:cNvSpPr>
        </xdr:nvSpPr>
        <xdr:spPr bwMode="auto">
          <a:xfrm flipH="1">
            <a:off x="452" y="148"/>
            <a:ext cx="22" cy="0"/>
          </a:xfrm>
          <a:prstGeom prst="line">
            <a:avLst/>
          </a:prstGeom>
          <a:noFill/>
          <a:ln w="9525">
            <a:solidFill>
              <a:srgbClr val="000000"/>
            </a:solidFill>
            <a:round/>
            <a:headEnd/>
            <a:tailEnd/>
          </a:ln>
        </xdr:spPr>
      </xdr:sp>
      <xdr:sp macro="" textlink="">
        <xdr:nvSpPr>
          <xdr:cNvPr id="214653" name="Line 28"/>
          <xdr:cNvSpPr>
            <a:spLocks noChangeShapeType="1"/>
          </xdr:cNvSpPr>
        </xdr:nvSpPr>
        <xdr:spPr bwMode="auto">
          <a:xfrm flipH="1">
            <a:off x="451" y="320"/>
            <a:ext cx="17" cy="0"/>
          </a:xfrm>
          <a:prstGeom prst="line">
            <a:avLst/>
          </a:prstGeom>
          <a:noFill/>
          <a:ln w="9525">
            <a:solidFill>
              <a:srgbClr val="000000"/>
            </a:solidFill>
            <a:round/>
            <a:headEnd/>
            <a:tailEnd/>
          </a:ln>
        </xdr:spPr>
      </xdr:sp>
      <xdr:sp macro="" textlink="">
        <xdr:nvSpPr>
          <xdr:cNvPr id="214654" name="Line 29"/>
          <xdr:cNvSpPr>
            <a:spLocks noChangeShapeType="1"/>
          </xdr:cNvSpPr>
        </xdr:nvSpPr>
        <xdr:spPr bwMode="auto">
          <a:xfrm>
            <a:off x="461" y="148"/>
            <a:ext cx="0" cy="172"/>
          </a:xfrm>
          <a:prstGeom prst="line">
            <a:avLst/>
          </a:prstGeom>
          <a:noFill/>
          <a:ln w="9525">
            <a:solidFill>
              <a:srgbClr val="000000"/>
            </a:solidFill>
            <a:round/>
            <a:headEnd type="stealth" w="sm" len="sm"/>
            <a:tailEnd type="stealth" w="sm" len="sm"/>
          </a:ln>
        </xdr:spPr>
      </xdr:sp>
      <xdr:sp macro="" textlink="">
        <xdr:nvSpPr>
          <xdr:cNvPr id="214655" name="Line 30"/>
          <xdr:cNvSpPr>
            <a:spLocks noChangeShapeType="1"/>
          </xdr:cNvSpPr>
        </xdr:nvSpPr>
        <xdr:spPr bwMode="auto">
          <a:xfrm flipV="1">
            <a:off x="631" y="275"/>
            <a:ext cx="0" cy="45"/>
          </a:xfrm>
          <a:prstGeom prst="line">
            <a:avLst/>
          </a:prstGeom>
          <a:noFill/>
          <a:ln w="9525">
            <a:solidFill>
              <a:srgbClr val="000000"/>
            </a:solidFill>
            <a:round/>
            <a:headEnd type="stealth" w="sm" len="sm"/>
            <a:tailEnd type="stealth" w="sm" len="sm"/>
          </a:ln>
        </xdr:spPr>
      </xdr:sp>
      <xdr:sp macro="" textlink="">
        <xdr:nvSpPr>
          <xdr:cNvPr id="214656" name="Line 31"/>
          <xdr:cNvSpPr>
            <a:spLocks noChangeShapeType="1"/>
          </xdr:cNvSpPr>
        </xdr:nvSpPr>
        <xdr:spPr bwMode="auto">
          <a:xfrm>
            <a:off x="595" y="320"/>
            <a:ext cx="46" cy="0"/>
          </a:xfrm>
          <a:prstGeom prst="line">
            <a:avLst/>
          </a:prstGeom>
          <a:noFill/>
          <a:ln w="9525">
            <a:solidFill>
              <a:srgbClr val="000000"/>
            </a:solidFill>
            <a:round/>
            <a:headEnd/>
            <a:tailEnd/>
          </a:ln>
        </xdr:spPr>
      </xdr:sp>
      <xdr:sp macro="" textlink="">
        <xdr:nvSpPr>
          <xdr:cNvPr id="214657" name="Line 32"/>
          <xdr:cNvSpPr>
            <a:spLocks noChangeShapeType="1"/>
          </xdr:cNvSpPr>
        </xdr:nvSpPr>
        <xdr:spPr bwMode="auto">
          <a:xfrm flipH="1" flipV="1">
            <a:off x="478" y="148"/>
            <a:ext cx="7" cy="172"/>
          </a:xfrm>
          <a:prstGeom prst="line">
            <a:avLst/>
          </a:prstGeom>
          <a:noFill/>
          <a:ln w="9525">
            <a:solidFill>
              <a:srgbClr val="0000FF"/>
            </a:solidFill>
            <a:prstDash val="dash"/>
            <a:round/>
            <a:headEnd/>
            <a:tailEnd/>
          </a:ln>
        </xdr:spPr>
      </xdr:sp>
      <xdr:sp macro="" textlink="">
        <xdr:nvSpPr>
          <xdr:cNvPr id="214658" name="Line 33"/>
          <xdr:cNvSpPr>
            <a:spLocks noChangeShapeType="1"/>
          </xdr:cNvSpPr>
        </xdr:nvSpPr>
        <xdr:spPr bwMode="auto">
          <a:xfrm flipH="1" flipV="1">
            <a:off x="564" y="148"/>
            <a:ext cx="7" cy="172"/>
          </a:xfrm>
          <a:prstGeom prst="line">
            <a:avLst/>
          </a:prstGeom>
          <a:noFill/>
          <a:ln w="9525">
            <a:solidFill>
              <a:srgbClr val="0000FF"/>
            </a:solidFill>
            <a:prstDash val="dash"/>
            <a:round/>
            <a:headEnd/>
            <a:tailEnd/>
          </a:ln>
        </xdr:spPr>
      </xdr:sp>
      <xdr:sp macro="" textlink="">
        <xdr:nvSpPr>
          <xdr:cNvPr id="214659" name="Line 34"/>
          <xdr:cNvSpPr>
            <a:spLocks noChangeShapeType="1"/>
          </xdr:cNvSpPr>
        </xdr:nvSpPr>
        <xdr:spPr bwMode="auto">
          <a:xfrm flipH="1">
            <a:off x="478" y="148"/>
            <a:ext cx="7" cy="0"/>
          </a:xfrm>
          <a:prstGeom prst="line">
            <a:avLst/>
          </a:prstGeom>
          <a:noFill/>
          <a:ln w="9525">
            <a:solidFill>
              <a:srgbClr val="0000FF"/>
            </a:solidFill>
            <a:round/>
            <a:headEnd/>
            <a:tailEnd/>
          </a:ln>
        </xdr:spPr>
      </xdr:sp>
      <xdr:sp macro="" textlink="">
        <xdr:nvSpPr>
          <xdr:cNvPr id="214660" name="Line 35"/>
          <xdr:cNvSpPr>
            <a:spLocks noChangeShapeType="1"/>
          </xdr:cNvSpPr>
        </xdr:nvSpPr>
        <xdr:spPr bwMode="auto">
          <a:xfrm>
            <a:off x="548" y="148"/>
            <a:ext cx="16" cy="0"/>
          </a:xfrm>
          <a:prstGeom prst="line">
            <a:avLst/>
          </a:prstGeom>
          <a:noFill/>
          <a:ln w="9525">
            <a:solidFill>
              <a:srgbClr val="000000"/>
            </a:solidFill>
            <a:round/>
            <a:headEnd/>
            <a:tailEnd type="stealth" w="sm" len="sm"/>
          </a:ln>
        </xdr:spPr>
      </xdr:sp>
      <xdr:sp macro="" textlink="">
        <xdr:nvSpPr>
          <xdr:cNvPr id="214661" name="Line 36"/>
          <xdr:cNvSpPr>
            <a:spLocks noChangeShapeType="1"/>
          </xdr:cNvSpPr>
        </xdr:nvSpPr>
        <xdr:spPr bwMode="auto">
          <a:xfrm>
            <a:off x="548" y="165"/>
            <a:ext cx="16" cy="0"/>
          </a:xfrm>
          <a:prstGeom prst="line">
            <a:avLst/>
          </a:prstGeom>
          <a:noFill/>
          <a:ln w="9525">
            <a:solidFill>
              <a:srgbClr val="000000"/>
            </a:solidFill>
            <a:round/>
            <a:headEnd/>
            <a:tailEnd type="stealth" w="sm" len="sm"/>
          </a:ln>
        </xdr:spPr>
      </xdr:sp>
      <xdr:sp macro="" textlink="">
        <xdr:nvSpPr>
          <xdr:cNvPr id="214662" name="Line 37"/>
          <xdr:cNvSpPr>
            <a:spLocks noChangeShapeType="1"/>
          </xdr:cNvSpPr>
        </xdr:nvSpPr>
        <xdr:spPr bwMode="auto">
          <a:xfrm>
            <a:off x="549" y="182"/>
            <a:ext cx="16" cy="0"/>
          </a:xfrm>
          <a:prstGeom prst="line">
            <a:avLst/>
          </a:prstGeom>
          <a:noFill/>
          <a:ln w="9525">
            <a:solidFill>
              <a:srgbClr val="000000"/>
            </a:solidFill>
            <a:round/>
            <a:headEnd/>
            <a:tailEnd type="stealth" w="sm" len="sm"/>
          </a:ln>
        </xdr:spPr>
      </xdr:sp>
      <xdr:sp macro="" textlink="">
        <xdr:nvSpPr>
          <xdr:cNvPr id="214663" name="Line 38"/>
          <xdr:cNvSpPr>
            <a:spLocks noChangeShapeType="1"/>
          </xdr:cNvSpPr>
        </xdr:nvSpPr>
        <xdr:spPr bwMode="auto">
          <a:xfrm>
            <a:off x="550" y="199"/>
            <a:ext cx="16" cy="0"/>
          </a:xfrm>
          <a:prstGeom prst="line">
            <a:avLst/>
          </a:prstGeom>
          <a:noFill/>
          <a:ln w="9525">
            <a:solidFill>
              <a:srgbClr val="000000"/>
            </a:solidFill>
            <a:round/>
            <a:headEnd/>
            <a:tailEnd type="stealth" w="sm" len="sm"/>
          </a:ln>
        </xdr:spPr>
      </xdr:sp>
      <xdr:sp macro="" textlink="">
        <xdr:nvSpPr>
          <xdr:cNvPr id="214664" name="Line 39"/>
          <xdr:cNvSpPr>
            <a:spLocks noChangeShapeType="1"/>
          </xdr:cNvSpPr>
        </xdr:nvSpPr>
        <xdr:spPr bwMode="auto">
          <a:xfrm>
            <a:off x="551" y="216"/>
            <a:ext cx="16" cy="0"/>
          </a:xfrm>
          <a:prstGeom prst="line">
            <a:avLst/>
          </a:prstGeom>
          <a:noFill/>
          <a:ln w="9525">
            <a:solidFill>
              <a:srgbClr val="000000"/>
            </a:solidFill>
            <a:round/>
            <a:headEnd/>
            <a:tailEnd type="stealth" w="sm" len="sm"/>
          </a:ln>
        </xdr:spPr>
      </xdr:sp>
      <xdr:sp macro="" textlink="">
        <xdr:nvSpPr>
          <xdr:cNvPr id="214665" name="Line 40"/>
          <xdr:cNvSpPr>
            <a:spLocks noChangeShapeType="1"/>
          </xdr:cNvSpPr>
        </xdr:nvSpPr>
        <xdr:spPr bwMode="auto">
          <a:xfrm>
            <a:off x="552" y="233"/>
            <a:ext cx="16" cy="0"/>
          </a:xfrm>
          <a:prstGeom prst="line">
            <a:avLst/>
          </a:prstGeom>
          <a:noFill/>
          <a:ln w="9525">
            <a:solidFill>
              <a:srgbClr val="000000"/>
            </a:solidFill>
            <a:round/>
            <a:headEnd/>
            <a:tailEnd type="stealth" w="sm" len="sm"/>
          </a:ln>
        </xdr:spPr>
      </xdr:sp>
      <xdr:sp macro="" textlink="">
        <xdr:nvSpPr>
          <xdr:cNvPr id="214666" name="Line 41"/>
          <xdr:cNvSpPr>
            <a:spLocks noChangeShapeType="1"/>
          </xdr:cNvSpPr>
        </xdr:nvSpPr>
        <xdr:spPr bwMode="auto">
          <a:xfrm>
            <a:off x="552" y="250"/>
            <a:ext cx="16" cy="0"/>
          </a:xfrm>
          <a:prstGeom prst="line">
            <a:avLst/>
          </a:prstGeom>
          <a:noFill/>
          <a:ln w="9525">
            <a:solidFill>
              <a:srgbClr val="000000"/>
            </a:solidFill>
            <a:round/>
            <a:headEnd/>
            <a:tailEnd type="stealth" w="sm" len="sm"/>
          </a:ln>
        </xdr:spPr>
      </xdr:sp>
      <xdr:sp macro="" textlink="">
        <xdr:nvSpPr>
          <xdr:cNvPr id="214667" name="Line 42"/>
          <xdr:cNvSpPr>
            <a:spLocks noChangeShapeType="1"/>
          </xdr:cNvSpPr>
        </xdr:nvSpPr>
        <xdr:spPr bwMode="auto">
          <a:xfrm>
            <a:off x="552" y="267"/>
            <a:ext cx="16" cy="0"/>
          </a:xfrm>
          <a:prstGeom prst="line">
            <a:avLst/>
          </a:prstGeom>
          <a:noFill/>
          <a:ln w="9525">
            <a:solidFill>
              <a:srgbClr val="000000"/>
            </a:solidFill>
            <a:round/>
            <a:headEnd/>
            <a:tailEnd type="stealth" w="sm" len="sm"/>
          </a:ln>
        </xdr:spPr>
      </xdr:sp>
      <xdr:sp macro="" textlink="">
        <xdr:nvSpPr>
          <xdr:cNvPr id="214668" name="Line 43"/>
          <xdr:cNvSpPr>
            <a:spLocks noChangeShapeType="1"/>
          </xdr:cNvSpPr>
        </xdr:nvSpPr>
        <xdr:spPr bwMode="auto">
          <a:xfrm>
            <a:off x="553" y="284"/>
            <a:ext cx="16" cy="0"/>
          </a:xfrm>
          <a:prstGeom prst="line">
            <a:avLst/>
          </a:prstGeom>
          <a:noFill/>
          <a:ln w="9525">
            <a:solidFill>
              <a:srgbClr val="000000"/>
            </a:solidFill>
            <a:round/>
            <a:headEnd/>
            <a:tailEnd type="stealth" w="sm" len="sm"/>
          </a:ln>
        </xdr:spPr>
      </xdr:sp>
      <xdr:sp macro="" textlink="">
        <xdr:nvSpPr>
          <xdr:cNvPr id="214669" name="Line 44"/>
          <xdr:cNvSpPr>
            <a:spLocks noChangeShapeType="1"/>
          </xdr:cNvSpPr>
        </xdr:nvSpPr>
        <xdr:spPr bwMode="auto">
          <a:xfrm>
            <a:off x="555" y="301"/>
            <a:ext cx="16" cy="0"/>
          </a:xfrm>
          <a:prstGeom prst="line">
            <a:avLst/>
          </a:prstGeom>
          <a:noFill/>
          <a:ln w="9525">
            <a:solidFill>
              <a:srgbClr val="000000"/>
            </a:solidFill>
            <a:round/>
            <a:headEnd/>
            <a:tailEnd type="stealth" w="sm" len="sm"/>
          </a:ln>
        </xdr:spPr>
      </xdr:sp>
      <xdr:sp macro="" textlink="">
        <xdr:nvSpPr>
          <xdr:cNvPr id="214670" name="Line 45"/>
          <xdr:cNvSpPr>
            <a:spLocks noChangeShapeType="1"/>
          </xdr:cNvSpPr>
        </xdr:nvSpPr>
        <xdr:spPr bwMode="auto">
          <a:xfrm flipV="1">
            <a:off x="564" y="141"/>
            <a:ext cx="0" cy="6"/>
          </a:xfrm>
          <a:prstGeom prst="line">
            <a:avLst/>
          </a:prstGeom>
          <a:noFill/>
          <a:ln w="9525">
            <a:solidFill>
              <a:srgbClr val="000000"/>
            </a:solidFill>
            <a:round/>
            <a:headEnd/>
            <a:tailEnd/>
          </a:ln>
        </xdr:spPr>
      </xdr:sp>
      <xdr:sp macro="" textlink="">
        <xdr:nvSpPr>
          <xdr:cNvPr id="214671" name="Line 46"/>
          <xdr:cNvSpPr>
            <a:spLocks noChangeShapeType="1"/>
          </xdr:cNvSpPr>
        </xdr:nvSpPr>
        <xdr:spPr bwMode="auto">
          <a:xfrm flipV="1">
            <a:off x="571" y="141"/>
            <a:ext cx="0" cy="6"/>
          </a:xfrm>
          <a:prstGeom prst="line">
            <a:avLst/>
          </a:prstGeom>
          <a:noFill/>
          <a:ln w="9525">
            <a:solidFill>
              <a:srgbClr val="000000"/>
            </a:solidFill>
            <a:round/>
            <a:headEnd/>
            <a:tailEnd/>
          </a:ln>
        </xdr:spPr>
      </xdr:sp>
      <xdr:sp macro="" textlink="">
        <xdr:nvSpPr>
          <xdr:cNvPr id="214063" name="Text Box 47"/>
          <xdr:cNvSpPr txBox="1">
            <a:spLocks noChangeArrowheads="1"/>
          </xdr:cNvSpPr>
        </xdr:nvSpPr>
        <xdr:spPr bwMode="auto">
          <a:xfrm>
            <a:off x="631" y="288"/>
            <a:ext cx="21" cy="1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FF"/>
                </a:solidFill>
                <a:latin typeface="Arial Greek"/>
                <a:cs typeface="Arial Greek"/>
              </a:rPr>
              <a:t>h</a:t>
            </a:r>
            <a:r>
              <a:rPr lang="en-US" sz="800" b="0" i="0" u="none" strike="noStrike" baseline="0">
                <a:solidFill>
                  <a:srgbClr val="0000FF"/>
                </a:solidFill>
                <a:latin typeface="Arial Greek"/>
                <a:cs typeface="Arial Greek"/>
              </a:rPr>
              <a:t>x</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504825</xdr:colOff>
      <xdr:row>8</xdr:row>
      <xdr:rowOff>9525</xdr:rowOff>
    </xdr:from>
    <xdr:to>
      <xdr:col>7</xdr:col>
      <xdr:colOff>352425</xdr:colOff>
      <xdr:row>17</xdr:row>
      <xdr:rowOff>95250</xdr:rowOff>
    </xdr:to>
    <xdr:sp macro="" textlink="">
      <xdr:nvSpPr>
        <xdr:cNvPr id="23" name="Rectangle 5"/>
        <xdr:cNvSpPr>
          <a:spLocks noChangeArrowheads="1"/>
        </xdr:cNvSpPr>
      </xdr:nvSpPr>
      <xdr:spPr bwMode="auto">
        <a:xfrm>
          <a:off x="4838700" y="1343025"/>
          <a:ext cx="457200" cy="1543050"/>
        </a:xfrm>
        <a:prstGeom prst="rect">
          <a:avLst/>
        </a:prstGeom>
        <a:gradFill rotWithShape="1">
          <a:gsLst>
            <a:gs pos="0">
              <a:srgbClr val="767676"/>
            </a:gs>
            <a:gs pos="50000">
              <a:srgbClr xmlns:mc="http://schemas.openxmlformats.org/markup-compatibility/2006" xmlns:a14="http://schemas.microsoft.com/office/drawing/2010/main" val="FFFFFF" mc:Ignorable="a14" a14:legacySpreadsheetColorIndex="65"/>
            </a:gs>
            <a:gs pos="100000">
              <a:srgbClr val="767676"/>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xdr:col>
      <xdr:colOff>409575</xdr:colOff>
      <xdr:row>17</xdr:row>
      <xdr:rowOff>95250</xdr:rowOff>
    </xdr:from>
    <xdr:to>
      <xdr:col>7</xdr:col>
      <xdr:colOff>438150</xdr:colOff>
      <xdr:row>19</xdr:row>
      <xdr:rowOff>0</xdr:rowOff>
    </xdr:to>
    <xdr:sp macro="" textlink="">
      <xdr:nvSpPr>
        <xdr:cNvPr id="24" name="Rectangle 6"/>
        <xdr:cNvSpPr>
          <a:spLocks noChangeArrowheads="1"/>
        </xdr:cNvSpPr>
      </xdr:nvSpPr>
      <xdr:spPr bwMode="auto">
        <a:xfrm>
          <a:off x="4743450" y="2886075"/>
          <a:ext cx="638175" cy="22860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xdr:col>
      <xdr:colOff>390525</xdr:colOff>
      <xdr:row>17</xdr:row>
      <xdr:rowOff>47625</xdr:rowOff>
    </xdr:from>
    <xdr:to>
      <xdr:col>8</xdr:col>
      <xdr:colOff>9525</xdr:colOff>
      <xdr:row>17</xdr:row>
      <xdr:rowOff>47625</xdr:rowOff>
    </xdr:to>
    <xdr:sp macro="" textlink="">
      <xdr:nvSpPr>
        <xdr:cNvPr id="25" name="Line 7"/>
        <xdr:cNvSpPr>
          <a:spLocks noChangeShapeType="1"/>
        </xdr:cNvSpPr>
      </xdr:nvSpPr>
      <xdr:spPr bwMode="auto">
        <a:xfrm>
          <a:off x="4724400" y="2838450"/>
          <a:ext cx="80010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sm" len="med"/>
        </a:ln>
        <a:extLst>
          <a:ext uri="{909E8E84-426E-40DD-AFC4-6F175D3DCCD1}">
            <a14:hiddenFill xmlns:a14="http://schemas.microsoft.com/office/drawing/2010/main">
              <a:noFill/>
            </a14:hiddenFill>
          </a:ext>
        </a:extLst>
      </xdr:spPr>
    </xdr:sp>
    <xdr:clientData/>
  </xdr:twoCellAnchor>
  <xdr:twoCellAnchor>
    <xdr:from>
      <xdr:col>6</xdr:col>
      <xdr:colOff>28575</xdr:colOff>
      <xdr:row>8</xdr:row>
      <xdr:rowOff>19050</xdr:rowOff>
    </xdr:from>
    <xdr:to>
      <xdr:col>6</xdr:col>
      <xdr:colOff>447675</xdr:colOff>
      <xdr:row>8</xdr:row>
      <xdr:rowOff>19050</xdr:rowOff>
    </xdr:to>
    <xdr:sp macro="" textlink="">
      <xdr:nvSpPr>
        <xdr:cNvPr id="26" name="Line 8"/>
        <xdr:cNvSpPr>
          <a:spLocks noChangeShapeType="1"/>
        </xdr:cNvSpPr>
      </xdr:nvSpPr>
      <xdr:spPr bwMode="auto">
        <a:xfrm flipH="1">
          <a:off x="4362450" y="1352550"/>
          <a:ext cx="419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38100</xdr:colOff>
      <xdr:row>17</xdr:row>
      <xdr:rowOff>104775</xdr:rowOff>
    </xdr:from>
    <xdr:to>
      <xdr:col>6</xdr:col>
      <xdr:colOff>352425</xdr:colOff>
      <xdr:row>17</xdr:row>
      <xdr:rowOff>104775</xdr:rowOff>
    </xdr:to>
    <xdr:sp macro="" textlink="">
      <xdr:nvSpPr>
        <xdr:cNvPr id="27" name="Line 9"/>
        <xdr:cNvSpPr>
          <a:spLocks noChangeShapeType="1"/>
        </xdr:cNvSpPr>
      </xdr:nvSpPr>
      <xdr:spPr bwMode="auto">
        <a:xfrm flipH="1">
          <a:off x="4371975" y="28956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180975</xdr:colOff>
      <xdr:row>8</xdr:row>
      <xdr:rowOff>19050</xdr:rowOff>
    </xdr:from>
    <xdr:to>
      <xdr:col>6</xdr:col>
      <xdr:colOff>180975</xdr:colOff>
      <xdr:row>17</xdr:row>
      <xdr:rowOff>104775</xdr:rowOff>
    </xdr:to>
    <xdr:sp macro="" textlink="">
      <xdr:nvSpPr>
        <xdr:cNvPr id="28" name="Line 10"/>
        <xdr:cNvSpPr>
          <a:spLocks noChangeShapeType="1"/>
        </xdr:cNvSpPr>
      </xdr:nvSpPr>
      <xdr:spPr bwMode="auto">
        <a:xfrm>
          <a:off x="4514850" y="1352550"/>
          <a:ext cx="0" cy="15430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stealth" w="sm" len="sm"/>
          <a:tailEnd type="stealth" w="sm" len="sm"/>
        </a:ln>
        <a:extLst>
          <a:ext uri="{909E8E84-426E-40DD-AFC4-6F175D3DCCD1}">
            <a14:hiddenFill xmlns:a14="http://schemas.microsoft.com/office/drawing/2010/main">
              <a:noFill/>
            </a14:hiddenFill>
          </a:ext>
        </a:extLst>
      </xdr:spPr>
    </xdr:sp>
    <xdr:clientData/>
  </xdr:twoCellAnchor>
  <xdr:twoCellAnchor>
    <xdr:from>
      <xdr:col>8</xdr:col>
      <xdr:colOff>152400</xdr:colOff>
      <xdr:row>8</xdr:row>
      <xdr:rowOff>9525</xdr:rowOff>
    </xdr:from>
    <xdr:to>
      <xdr:col>8</xdr:col>
      <xdr:colOff>561975</xdr:colOff>
      <xdr:row>17</xdr:row>
      <xdr:rowOff>95250</xdr:rowOff>
    </xdr:to>
    <xdr:sp macro="" textlink="">
      <xdr:nvSpPr>
        <xdr:cNvPr id="29" name="AutoShape 11" descr="Light horizontal"/>
        <xdr:cNvSpPr>
          <a:spLocks noChangeArrowheads="1"/>
        </xdr:cNvSpPr>
      </xdr:nvSpPr>
      <xdr:spPr bwMode="auto">
        <a:xfrm rot="10800000" flipH="1">
          <a:off x="5667375" y="1343025"/>
          <a:ext cx="409575" cy="1543050"/>
        </a:xfrm>
        <a:prstGeom prst="rtTriangle">
          <a:avLst/>
        </a:prstGeom>
        <a:pattFill prst="ltHorz">
          <a:fgClr>
            <a:srgbClr val="000000"/>
          </a:fgClr>
          <a:bgClr>
            <a:srgbClr val="FFFFFF"/>
          </a:bgClr>
        </a:patt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409575</xdr:colOff>
      <xdr:row>11</xdr:row>
      <xdr:rowOff>28575</xdr:rowOff>
    </xdr:from>
    <xdr:to>
      <xdr:col>8</xdr:col>
      <xdr:colOff>638175</xdr:colOff>
      <xdr:row>11</xdr:row>
      <xdr:rowOff>28575</xdr:rowOff>
    </xdr:to>
    <xdr:sp macro="" textlink="">
      <xdr:nvSpPr>
        <xdr:cNvPr id="30" name="Line 12"/>
        <xdr:cNvSpPr>
          <a:spLocks noChangeShapeType="1"/>
        </xdr:cNvSpPr>
      </xdr:nvSpPr>
      <xdr:spPr bwMode="auto">
        <a:xfrm flipH="1">
          <a:off x="5353050" y="1847850"/>
          <a:ext cx="80010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sm" len="med"/>
        </a:ln>
        <a:extLst>
          <a:ext uri="{909E8E84-426E-40DD-AFC4-6F175D3DCCD1}">
            <a14:hiddenFill xmlns:a14="http://schemas.microsoft.com/office/drawing/2010/main">
              <a:noFill/>
            </a14:hiddenFill>
          </a:ext>
        </a:extLst>
      </xdr:spPr>
    </xdr:sp>
    <xdr:clientData/>
  </xdr:twoCellAnchor>
  <xdr:twoCellAnchor>
    <xdr:from>
      <xdr:col>7</xdr:col>
      <xdr:colOff>495300</xdr:colOff>
      <xdr:row>17</xdr:row>
      <xdr:rowOff>95250</xdr:rowOff>
    </xdr:from>
    <xdr:to>
      <xdr:col>8</xdr:col>
      <xdr:colOff>638175</xdr:colOff>
      <xdr:row>17</xdr:row>
      <xdr:rowOff>95250</xdr:rowOff>
    </xdr:to>
    <xdr:sp macro="" textlink="">
      <xdr:nvSpPr>
        <xdr:cNvPr id="31" name="Line 13"/>
        <xdr:cNvSpPr>
          <a:spLocks noChangeShapeType="1"/>
        </xdr:cNvSpPr>
      </xdr:nvSpPr>
      <xdr:spPr bwMode="auto">
        <a:xfrm flipV="1">
          <a:off x="5438775" y="2886075"/>
          <a:ext cx="7143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123825</xdr:colOff>
      <xdr:row>12</xdr:row>
      <xdr:rowOff>19050</xdr:rowOff>
    </xdr:from>
    <xdr:to>
      <xdr:col>7</xdr:col>
      <xdr:colOff>123825</xdr:colOff>
      <xdr:row>15</xdr:row>
      <xdr:rowOff>76200</xdr:rowOff>
    </xdr:to>
    <xdr:sp macro="" textlink="">
      <xdr:nvSpPr>
        <xdr:cNvPr id="32" name="Line 14"/>
        <xdr:cNvSpPr>
          <a:spLocks noChangeShapeType="1"/>
        </xdr:cNvSpPr>
      </xdr:nvSpPr>
      <xdr:spPr bwMode="auto">
        <a:xfrm>
          <a:off x="5067300" y="2000250"/>
          <a:ext cx="0" cy="54292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sm" len="med"/>
        </a:ln>
        <a:extLst>
          <a:ext uri="{909E8E84-426E-40DD-AFC4-6F175D3DCCD1}">
            <a14:hiddenFill xmlns:a14="http://schemas.microsoft.com/office/drawing/2010/main">
              <a:noFill/>
            </a14:hiddenFill>
          </a:ext>
        </a:extLst>
      </xdr:spPr>
    </xdr:sp>
    <xdr:clientData/>
  </xdr:twoCellAnchor>
  <xdr:twoCellAnchor>
    <xdr:from>
      <xdr:col>6</xdr:col>
      <xdr:colOff>581025</xdr:colOff>
      <xdr:row>11</xdr:row>
      <xdr:rowOff>9525</xdr:rowOff>
    </xdr:from>
    <xdr:to>
      <xdr:col>7</xdr:col>
      <xdr:colOff>266700</xdr:colOff>
      <xdr:row>12</xdr:row>
      <xdr:rowOff>9525</xdr:rowOff>
    </xdr:to>
    <xdr:sp macro="" textlink="">
      <xdr:nvSpPr>
        <xdr:cNvPr id="33" name="Text Box 15"/>
        <xdr:cNvSpPr txBox="1">
          <a:spLocks noChangeArrowheads="1"/>
        </xdr:cNvSpPr>
      </xdr:nvSpPr>
      <xdr:spPr bwMode="auto">
        <a:xfrm>
          <a:off x="4914900" y="1828800"/>
          <a:ext cx="2952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FF"/>
              </a:solidFill>
              <a:latin typeface="Arial Greek"/>
              <a:cs typeface="Arial Greek"/>
            </a:rPr>
            <a:t>  W</a:t>
          </a:r>
        </a:p>
      </xdr:txBody>
    </xdr:sp>
    <xdr:clientData/>
  </xdr:twoCellAnchor>
  <xdr:twoCellAnchor>
    <xdr:from>
      <xdr:col>8</xdr:col>
      <xdr:colOff>542925</xdr:colOff>
      <xdr:row>11</xdr:row>
      <xdr:rowOff>28575</xdr:rowOff>
    </xdr:from>
    <xdr:to>
      <xdr:col>8</xdr:col>
      <xdr:colOff>542925</xdr:colOff>
      <xdr:row>13</xdr:row>
      <xdr:rowOff>133350</xdr:rowOff>
    </xdr:to>
    <xdr:sp macro="" textlink="">
      <xdr:nvSpPr>
        <xdr:cNvPr id="34" name="Line 16"/>
        <xdr:cNvSpPr>
          <a:spLocks noChangeShapeType="1"/>
        </xdr:cNvSpPr>
      </xdr:nvSpPr>
      <xdr:spPr bwMode="auto">
        <a:xfrm flipV="1">
          <a:off x="6057900" y="1847850"/>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sm"/>
        </a:ln>
        <a:extLst>
          <a:ext uri="{909E8E84-426E-40DD-AFC4-6F175D3DCCD1}">
            <a14:hiddenFill xmlns:a14="http://schemas.microsoft.com/office/drawing/2010/main">
              <a:noFill/>
            </a14:hiddenFill>
          </a:ext>
        </a:extLst>
      </xdr:spPr>
    </xdr:sp>
    <xdr:clientData/>
  </xdr:twoCellAnchor>
  <xdr:twoCellAnchor>
    <xdr:from>
      <xdr:col>8</xdr:col>
      <xdr:colOff>542925</xdr:colOff>
      <xdr:row>15</xdr:row>
      <xdr:rowOff>28575</xdr:rowOff>
    </xdr:from>
    <xdr:to>
      <xdr:col>8</xdr:col>
      <xdr:colOff>542925</xdr:colOff>
      <xdr:row>17</xdr:row>
      <xdr:rowOff>95250</xdr:rowOff>
    </xdr:to>
    <xdr:sp macro="" textlink="">
      <xdr:nvSpPr>
        <xdr:cNvPr id="35" name="Line 17"/>
        <xdr:cNvSpPr>
          <a:spLocks noChangeShapeType="1"/>
        </xdr:cNvSpPr>
      </xdr:nvSpPr>
      <xdr:spPr bwMode="auto">
        <a:xfrm>
          <a:off x="6057900" y="2495550"/>
          <a:ext cx="0" cy="390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sm" len="sm"/>
        </a:ln>
        <a:extLst>
          <a:ext uri="{909E8E84-426E-40DD-AFC4-6F175D3DCCD1}">
            <a14:hiddenFill xmlns:a14="http://schemas.microsoft.com/office/drawing/2010/main">
              <a:noFill/>
            </a14:hiddenFill>
          </a:ext>
        </a:extLst>
      </xdr:spPr>
    </xdr:sp>
    <xdr:clientData/>
  </xdr:twoCellAnchor>
  <xdr:twoCellAnchor>
    <xdr:from>
      <xdr:col>7</xdr:col>
      <xdr:colOff>390525</xdr:colOff>
      <xdr:row>8</xdr:row>
      <xdr:rowOff>9525</xdr:rowOff>
    </xdr:from>
    <xdr:to>
      <xdr:col>8</xdr:col>
      <xdr:colOff>114300</xdr:colOff>
      <xdr:row>8</xdr:row>
      <xdr:rowOff>9525</xdr:rowOff>
    </xdr:to>
    <xdr:sp macro="" textlink="">
      <xdr:nvSpPr>
        <xdr:cNvPr id="36" name="Line 18"/>
        <xdr:cNvSpPr>
          <a:spLocks noChangeShapeType="1"/>
        </xdr:cNvSpPr>
      </xdr:nvSpPr>
      <xdr:spPr bwMode="auto">
        <a:xfrm>
          <a:off x="5334000" y="1343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504825</xdr:colOff>
      <xdr:row>9</xdr:row>
      <xdr:rowOff>57150</xdr:rowOff>
    </xdr:from>
    <xdr:to>
      <xdr:col>7</xdr:col>
      <xdr:colOff>352425</xdr:colOff>
      <xdr:row>9</xdr:row>
      <xdr:rowOff>57150</xdr:rowOff>
    </xdr:to>
    <xdr:sp macro="" textlink="">
      <xdr:nvSpPr>
        <xdr:cNvPr id="37" name="Line 19"/>
        <xdr:cNvSpPr>
          <a:spLocks noChangeShapeType="1"/>
        </xdr:cNvSpPr>
      </xdr:nvSpPr>
      <xdr:spPr bwMode="auto">
        <a:xfrm>
          <a:off x="4838700" y="1552575"/>
          <a:ext cx="457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stealth" w="sm" len="sm"/>
          <a:tailEnd type="stealth" w="sm" len="sm"/>
        </a:ln>
        <a:extLst>
          <a:ext uri="{909E8E84-426E-40DD-AFC4-6F175D3DCCD1}">
            <a14:hiddenFill xmlns:a14="http://schemas.microsoft.com/office/drawing/2010/main">
              <a:noFill/>
            </a14:hiddenFill>
          </a:ext>
        </a:extLst>
      </xdr:spPr>
    </xdr:sp>
    <xdr:clientData/>
  </xdr:twoCellAnchor>
  <xdr:twoCellAnchor>
    <xdr:from>
      <xdr:col>7</xdr:col>
      <xdr:colOff>9525</xdr:colOff>
      <xdr:row>8</xdr:row>
      <xdr:rowOff>38100</xdr:rowOff>
    </xdr:from>
    <xdr:to>
      <xdr:col>7</xdr:col>
      <xdr:colOff>266700</xdr:colOff>
      <xdr:row>9</xdr:row>
      <xdr:rowOff>28575</xdr:rowOff>
    </xdr:to>
    <xdr:sp macro="" textlink="">
      <xdr:nvSpPr>
        <xdr:cNvPr id="38" name="Text Box 20"/>
        <xdr:cNvSpPr txBox="1">
          <a:spLocks noChangeArrowheads="1"/>
        </xdr:cNvSpPr>
      </xdr:nvSpPr>
      <xdr:spPr bwMode="auto">
        <a:xfrm>
          <a:off x="4953000" y="1371600"/>
          <a:ext cx="25717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FFFFFF" mc:Ignorable="a14" a14:legacySpreadsheetColorIndex="9"/>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FF"/>
              </a:solidFill>
              <a:latin typeface="Arial Greek"/>
              <a:cs typeface="Arial Greek"/>
            </a:rPr>
            <a:t> d</a:t>
          </a:r>
        </a:p>
      </xdr:txBody>
    </xdr:sp>
    <xdr:clientData/>
  </xdr:twoCellAnchor>
  <xdr:twoCellAnchor>
    <xdr:from>
      <xdr:col>7</xdr:col>
      <xdr:colOff>504825</xdr:colOff>
      <xdr:row>17</xdr:row>
      <xdr:rowOff>104775</xdr:rowOff>
    </xdr:from>
    <xdr:to>
      <xdr:col>8</xdr:col>
      <xdr:colOff>647700</xdr:colOff>
      <xdr:row>18</xdr:row>
      <xdr:rowOff>85725</xdr:rowOff>
    </xdr:to>
    <xdr:sp macro="" textlink="">
      <xdr:nvSpPr>
        <xdr:cNvPr id="39" name="Rectangle 22" descr="Light downward diagonal"/>
        <xdr:cNvSpPr>
          <a:spLocks noChangeArrowheads="1"/>
        </xdr:cNvSpPr>
      </xdr:nvSpPr>
      <xdr:spPr bwMode="auto">
        <a:xfrm>
          <a:off x="5448300" y="2895600"/>
          <a:ext cx="714375" cy="142875"/>
        </a:xfrm>
        <a:prstGeom prst="rect">
          <a:avLst/>
        </a:prstGeom>
        <a:pattFill prst="ltDnDiag">
          <a:fgClr>
            <a:srgbClr val="000000"/>
          </a:fgClr>
          <a:bgClr>
            <a:srgbClr val="FFFFFF"/>
          </a:bgClr>
        </a:patt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6</xdr:col>
      <xdr:colOff>38100</xdr:colOff>
      <xdr:row>17</xdr:row>
      <xdr:rowOff>114300</xdr:rowOff>
    </xdr:from>
    <xdr:to>
      <xdr:col>6</xdr:col>
      <xdr:colOff>352425</xdr:colOff>
      <xdr:row>18</xdr:row>
      <xdr:rowOff>85725</xdr:rowOff>
    </xdr:to>
    <xdr:sp macro="" textlink="">
      <xdr:nvSpPr>
        <xdr:cNvPr id="40" name="Rectangle 23" descr="Light downward diagonal"/>
        <xdr:cNvSpPr>
          <a:spLocks noChangeArrowheads="1"/>
        </xdr:cNvSpPr>
      </xdr:nvSpPr>
      <xdr:spPr bwMode="auto">
        <a:xfrm>
          <a:off x="4371975" y="2905125"/>
          <a:ext cx="314325" cy="133350"/>
        </a:xfrm>
        <a:prstGeom prst="rect">
          <a:avLst/>
        </a:prstGeom>
        <a:pattFill prst="ltDnDiag">
          <a:fgClr>
            <a:srgbClr val="000000"/>
          </a:fgClr>
          <a:bgClr>
            <a:srgbClr val="FFFFFF"/>
          </a:bgClr>
        </a:patt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33</xdr:col>
      <xdr:colOff>0</xdr:colOff>
      <xdr:row>5</xdr:row>
      <xdr:rowOff>0</xdr:rowOff>
    </xdr:from>
    <xdr:to>
      <xdr:col>37</xdr:col>
      <xdr:colOff>0</xdr:colOff>
      <xdr:row>6</xdr:row>
      <xdr:rowOff>0</xdr:rowOff>
    </xdr:to>
    <xdr:sp macro="" textlink="">
      <xdr:nvSpPr>
        <xdr:cNvPr id="44" name="Rectangle 54"/>
        <xdr:cNvSpPr>
          <a:spLocks noChangeArrowheads="1"/>
        </xdr:cNvSpPr>
      </xdr:nvSpPr>
      <xdr:spPr bwMode="auto">
        <a:xfrm>
          <a:off x="7010400" y="847725"/>
          <a:ext cx="2924175" cy="1619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xmlns:mc="http://schemas.openxmlformats.org/markup-compatibility/2006" xmlns:a14="http://schemas.microsoft.com/office/drawing/2010/main" val="000000" mc:Ignorable="a14" a14:legacySpreadsheetColorIndex="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33</xdr:col>
      <xdr:colOff>0</xdr:colOff>
      <xdr:row>8</xdr:row>
      <xdr:rowOff>0</xdr:rowOff>
    </xdr:from>
    <xdr:to>
      <xdr:col>39</xdr:col>
      <xdr:colOff>0</xdr:colOff>
      <xdr:row>9</xdr:row>
      <xdr:rowOff>0</xdr:rowOff>
    </xdr:to>
    <xdr:sp macro="" textlink="">
      <xdr:nvSpPr>
        <xdr:cNvPr id="45" name="Rectangle 57"/>
        <xdr:cNvSpPr>
          <a:spLocks noChangeArrowheads="1"/>
        </xdr:cNvSpPr>
      </xdr:nvSpPr>
      <xdr:spPr bwMode="auto">
        <a:xfrm>
          <a:off x="7010400" y="1333500"/>
          <a:ext cx="4143375" cy="1619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xmlns:mc="http://schemas.openxmlformats.org/markup-compatibility/2006" xmlns:a14="http://schemas.microsoft.com/office/drawing/2010/main" val="000000" mc:Ignorable="a14" a14:legacySpreadsheetColorIndex="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0</xdr:colOff>
      <xdr:row>5</xdr:row>
      <xdr:rowOff>0</xdr:rowOff>
    </xdr:from>
    <xdr:to>
      <xdr:col>37</xdr:col>
      <xdr:colOff>0</xdr:colOff>
      <xdr:row>6</xdr:row>
      <xdr:rowOff>0</xdr:rowOff>
    </xdr:to>
    <xdr:sp macro="" textlink="">
      <xdr:nvSpPr>
        <xdr:cNvPr id="7" name="Rectangle 54"/>
        <xdr:cNvSpPr>
          <a:spLocks noChangeArrowheads="1"/>
        </xdr:cNvSpPr>
      </xdr:nvSpPr>
      <xdr:spPr bwMode="auto">
        <a:xfrm>
          <a:off x="7762875" y="685800"/>
          <a:ext cx="2819400" cy="1619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xmlns:mc="http://schemas.openxmlformats.org/markup-compatibility/2006" xmlns:a14="http://schemas.microsoft.com/office/drawing/2010/main" val="000000" mc:Ignorable="a14" a14:legacySpreadsheetColorIndex="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33</xdr:col>
      <xdr:colOff>0</xdr:colOff>
      <xdr:row>8</xdr:row>
      <xdr:rowOff>0</xdr:rowOff>
    </xdr:from>
    <xdr:to>
      <xdr:col>39</xdr:col>
      <xdr:colOff>0</xdr:colOff>
      <xdr:row>9</xdr:row>
      <xdr:rowOff>0</xdr:rowOff>
    </xdr:to>
    <xdr:sp macro="" textlink="">
      <xdr:nvSpPr>
        <xdr:cNvPr id="8" name="Rectangle 57"/>
        <xdr:cNvSpPr>
          <a:spLocks noChangeArrowheads="1"/>
        </xdr:cNvSpPr>
      </xdr:nvSpPr>
      <xdr:spPr bwMode="auto">
        <a:xfrm>
          <a:off x="7762875" y="1171575"/>
          <a:ext cx="4038600" cy="1619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xmlns:mc="http://schemas.openxmlformats.org/markup-compatibility/2006" xmlns:a14="http://schemas.microsoft.com/office/drawing/2010/main" val="000000" mc:Ignorable="a14" a14:legacySpreadsheetColorIndex="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27</xdr:col>
      <xdr:colOff>0</xdr:colOff>
      <xdr:row>5</xdr:row>
      <xdr:rowOff>0</xdr:rowOff>
    </xdr:from>
    <xdr:to>
      <xdr:col>31</xdr:col>
      <xdr:colOff>0</xdr:colOff>
      <xdr:row>6</xdr:row>
      <xdr:rowOff>0</xdr:rowOff>
    </xdr:to>
    <xdr:sp macro="" textlink="">
      <xdr:nvSpPr>
        <xdr:cNvPr id="5" name="Rectangle 54"/>
        <xdr:cNvSpPr>
          <a:spLocks noChangeArrowheads="1"/>
        </xdr:cNvSpPr>
      </xdr:nvSpPr>
      <xdr:spPr bwMode="auto">
        <a:xfrm>
          <a:off x="7448550" y="685800"/>
          <a:ext cx="2819400" cy="1619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xmlns:mc="http://schemas.openxmlformats.org/markup-compatibility/2006" xmlns:a14="http://schemas.microsoft.com/office/drawing/2010/main" val="000000" mc:Ignorable="a14" a14:legacySpreadsheetColorIndex="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27</xdr:col>
      <xdr:colOff>0</xdr:colOff>
      <xdr:row>8</xdr:row>
      <xdr:rowOff>0</xdr:rowOff>
    </xdr:from>
    <xdr:to>
      <xdr:col>33</xdr:col>
      <xdr:colOff>0</xdr:colOff>
      <xdr:row>9</xdr:row>
      <xdr:rowOff>0</xdr:rowOff>
    </xdr:to>
    <xdr:sp macro="" textlink="">
      <xdr:nvSpPr>
        <xdr:cNvPr id="6" name="Rectangle 57"/>
        <xdr:cNvSpPr>
          <a:spLocks noChangeArrowheads="1"/>
        </xdr:cNvSpPr>
      </xdr:nvSpPr>
      <xdr:spPr bwMode="auto">
        <a:xfrm>
          <a:off x="7448550" y="1171575"/>
          <a:ext cx="4038600" cy="1619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xmlns:mc="http://schemas.openxmlformats.org/markup-compatibility/2006" xmlns:a14="http://schemas.microsoft.com/office/drawing/2010/main" val="000000" mc:Ignorable="a14" a14:legacySpreadsheetColorIndex="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27</xdr:col>
      <xdr:colOff>0</xdr:colOff>
      <xdr:row>5</xdr:row>
      <xdr:rowOff>0</xdr:rowOff>
    </xdr:from>
    <xdr:to>
      <xdr:col>31</xdr:col>
      <xdr:colOff>0</xdr:colOff>
      <xdr:row>6</xdr:row>
      <xdr:rowOff>0</xdr:rowOff>
    </xdr:to>
    <xdr:sp macro="" textlink="">
      <xdr:nvSpPr>
        <xdr:cNvPr id="5" name="Rectangle 54"/>
        <xdr:cNvSpPr>
          <a:spLocks noChangeArrowheads="1"/>
        </xdr:cNvSpPr>
      </xdr:nvSpPr>
      <xdr:spPr bwMode="auto">
        <a:xfrm>
          <a:off x="6838950" y="847725"/>
          <a:ext cx="2819400" cy="1619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xmlns:mc="http://schemas.openxmlformats.org/markup-compatibility/2006" xmlns:a14="http://schemas.microsoft.com/office/drawing/2010/main" val="000000" mc:Ignorable="a14" a14:legacySpreadsheetColorIndex="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27</xdr:col>
      <xdr:colOff>0</xdr:colOff>
      <xdr:row>8</xdr:row>
      <xdr:rowOff>0</xdr:rowOff>
    </xdr:from>
    <xdr:to>
      <xdr:col>33</xdr:col>
      <xdr:colOff>0</xdr:colOff>
      <xdr:row>9</xdr:row>
      <xdr:rowOff>0</xdr:rowOff>
    </xdr:to>
    <xdr:sp macro="" textlink="">
      <xdr:nvSpPr>
        <xdr:cNvPr id="6" name="Rectangle 57"/>
        <xdr:cNvSpPr>
          <a:spLocks noChangeArrowheads="1"/>
        </xdr:cNvSpPr>
      </xdr:nvSpPr>
      <xdr:spPr bwMode="auto">
        <a:xfrm>
          <a:off x="6838950" y="1333500"/>
          <a:ext cx="4038600" cy="1619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xmlns:mc="http://schemas.openxmlformats.org/markup-compatibility/2006" xmlns:a14="http://schemas.microsoft.com/office/drawing/2010/main" val="000000" mc:Ignorable="a14" a14:legacySpreadsheetColorIndex="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9</xdr:col>
      <xdr:colOff>219075</xdr:colOff>
      <xdr:row>45</xdr:row>
      <xdr:rowOff>28575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0"/>
          <a:ext cx="56578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xdr:colOff>
      <xdr:row>0</xdr:row>
      <xdr:rowOff>0</xdr:rowOff>
    </xdr:from>
    <xdr:to>
      <xdr:col>18</xdr:col>
      <xdr:colOff>180975</xdr:colOff>
      <xdr:row>45</xdr:row>
      <xdr:rowOff>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95925" y="0"/>
          <a:ext cx="5657850" cy="728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511628</xdr:colOff>
      <xdr:row>0</xdr:row>
      <xdr:rowOff>95250</xdr:rowOff>
    </xdr:from>
    <xdr:to>
      <xdr:col>9</xdr:col>
      <xdr:colOff>381000</xdr:colOff>
      <xdr:row>4</xdr:row>
      <xdr:rowOff>65314</xdr:rowOff>
    </xdr:to>
    <xdr:sp macro="" textlink="">
      <xdr:nvSpPr>
        <xdr:cNvPr id="4" name="Text Box 4"/>
        <xdr:cNvSpPr txBox="1">
          <a:spLocks noChangeArrowheads="1"/>
        </xdr:cNvSpPr>
      </xdr:nvSpPr>
      <xdr:spPr bwMode="auto">
        <a:xfrm>
          <a:off x="2340428" y="95250"/>
          <a:ext cx="3526972" cy="6177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en-US" sz="1200" b="1" i="0" u="none" strike="noStrike" baseline="0">
              <a:solidFill>
                <a:srgbClr val="000000"/>
              </a:solidFill>
              <a:latin typeface="Arial Greek"/>
              <a:cs typeface="Arial Greek"/>
            </a:rPr>
            <a:t>Figure 22-12</a:t>
          </a:r>
        </a:p>
        <a:p>
          <a:pPr algn="ctr" rtl="0">
            <a:defRPr sz="1000"/>
          </a:pPr>
          <a:r>
            <a:rPr lang="en-US" sz="1200" b="1" i="0" u="none" strike="noStrike" baseline="0">
              <a:solidFill>
                <a:srgbClr val="000000"/>
              </a:solidFill>
              <a:latin typeface="Arial Greek"/>
              <a:cs typeface="Arial Greek"/>
            </a:rPr>
            <a:t>Long-Period Transition Period, T</a:t>
          </a:r>
          <a:r>
            <a:rPr lang="en-US" sz="800" b="1" i="0" u="none" strike="noStrike" baseline="0">
              <a:solidFill>
                <a:srgbClr val="000000"/>
              </a:solidFill>
              <a:latin typeface="Arial Greek"/>
              <a:cs typeface="Arial Greek"/>
            </a:rPr>
            <a:t>L</a:t>
          </a:r>
          <a:r>
            <a:rPr lang="en-US" sz="1200" b="1" i="0" u="none" strike="noStrike" baseline="0">
              <a:solidFill>
                <a:srgbClr val="000000"/>
              </a:solidFill>
              <a:latin typeface="Arial Greek"/>
              <a:cs typeface="Arial Greek"/>
            </a:rPr>
            <a:t> (sec.), for the Conterminous United States</a:t>
          </a:r>
        </a:p>
      </xdr:txBody>
    </xdr:sp>
    <xdr:clientData/>
  </xdr:twoCellAnchor>
  <xdr:twoCellAnchor editAs="oneCell">
    <xdr:from>
      <xdr:col>0</xdr:col>
      <xdr:colOff>0</xdr:colOff>
      <xdr:row>45</xdr:row>
      <xdr:rowOff>66675</xdr:rowOff>
    </xdr:from>
    <xdr:to>
      <xdr:col>17</xdr:col>
      <xdr:colOff>247650</xdr:colOff>
      <xdr:row>129</xdr:row>
      <xdr:rowOff>142875</xdr:rowOff>
    </xdr:to>
    <xdr:pic>
      <xdr:nvPicPr>
        <xdr:cNvPr id="5"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353300"/>
          <a:ext cx="10610850" cy="136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earthquake.usgs.gov/designmaps/us/application.php"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earthquake.usgs.gov/hazards/" TargetMode="External"/><Relationship Id="rId7" Type="http://schemas.openxmlformats.org/officeDocument/2006/relationships/comments" Target="../comments1.xml"/><Relationship Id="rId2" Type="http://schemas.openxmlformats.org/officeDocument/2006/relationships/hyperlink" Target="http://earthquake.usgs.gov/designmaps/us/application.php" TargetMode="External"/><Relationship Id="rId1" Type="http://schemas.openxmlformats.org/officeDocument/2006/relationships/hyperlink" Target="http://earthquake.usgs.gov/hazards/designmaps/javacalc.php"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earthquake.usgs.gov/designmaps/us/application.php" TargetMode="External"/><Relationship Id="rId7" Type="http://schemas.openxmlformats.org/officeDocument/2006/relationships/drawing" Target="../drawings/drawing3.xml"/><Relationship Id="rId2" Type="http://schemas.openxmlformats.org/officeDocument/2006/relationships/hyperlink" Target="http://earthquake.usgs.gov/research/hazmaps/" TargetMode="External"/><Relationship Id="rId1" Type="http://schemas.openxmlformats.org/officeDocument/2006/relationships/hyperlink" Target="http://earthquake.usgs.gov/research/hazmaps/" TargetMode="External"/><Relationship Id="rId6" Type="http://schemas.openxmlformats.org/officeDocument/2006/relationships/printerSettings" Target="../printerSettings/printerSettings4.bin"/><Relationship Id="rId5" Type="http://schemas.openxmlformats.org/officeDocument/2006/relationships/hyperlink" Target="http://earthquake.usgs.gov/hazards/designmaps/javacalc.php" TargetMode="External"/><Relationship Id="rId4" Type="http://schemas.openxmlformats.org/officeDocument/2006/relationships/hyperlink" Target="http://earthquake.usgs.gov/hazards/" TargetMode="External"/><Relationship Id="rId9"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hyperlink" Target="http://earthquake.usgs.gov/hazards/designmaps/javacalc.php" TargetMode="External"/><Relationship Id="rId7" Type="http://schemas.openxmlformats.org/officeDocument/2006/relationships/comments" Target="../comments4.xml"/><Relationship Id="rId2" Type="http://schemas.openxmlformats.org/officeDocument/2006/relationships/hyperlink" Target="http://earthquake.usgs.gov/hazards/" TargetMode="External"/><Relationship Id="rId1" Type="http://schemas.openxmlformats.org/officeDocument/2006/relationships/hyperlink" Target="http://earthquake.usgs.gov/designmaps/us/application.php" TargetMode="External"/><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earthquake.usgs.gov/hazards/designmaps/javacalc.php" TargetMode="External"/><Relationship Id="rId7" Type="http://schemas.openxmlformats.org/officeDocument/2006/relationships/drawing" Target="../drawings/drawing5.xml"/><Relationship Id="rId2" Type="http://schemas.openxmlformats.org/officeDocument/2006/relationships/hyperlink" Target="http://earthquake.usgs.gov/research/hazmaps/" TargetMode="External"/><Relationship Id="rId1" Type="http://schemas.openxmlformats.org/officeDocument/2006/relationships/hyperlink" Target="http://earthquake.usgs.gov/research/hazmaps/" TargetMode="External"/><Relationship Id="rId6" Type="http://schemas.openxmlformats.org/officeDocument/2006/relationships/printerSettings" Target="../printerSettings/printerSettings6.bin"/><Relationship Id="rId5" Type="http://schemas.openxmlformats.org/officeDocument/2006/relationships/hyperlink" Target="http://earthquake.usgs.gov/hazards/" TargetMode="External"/><Relationship Id="rId4" Type="http://schemas.openxmlformats.org/officeDocument/2006/relationships/hyperlink" Target="http://earthquake.usgs.gov/designmaps/us/application.php" TargetMode="External"/><Relationship Id="rId9"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hyperlink" Target="http://earthquake.usgs.gov/hazards/" TargetMode="External"/><Relationship Id="rId7" Type="http://schemas.openxmlformats.org/officeDocument/2006/relationships/comments" Target="../comments6.xml"/><Relationship Id="rId2" Type="http://schemas.openxmlformats.org/officeDocument/2006/relationships/hyperlink" Target="http://earthquake.usgs.gov/designmaps/us/application.php" TargetMode="External"/><Relationship Id="rId1" Type="http://schemas.openxmlformats.org/officeDocument/2006/relationships/hyperlink" Target="http://earthquake.usgs.gov/hazards/designmaps/javacalc.php" TargetMode="External"/><Relationship Id="rId6" Type="http://schemas.openxmlformats.org/officeDocument/2006/relationships/vmlDrawing" Target="../drawings/vmlDrawing6.vml"/><Relationship Id="rId5" Type="http://schemas.openxmlformats.org/officeDocument/2006/relationships/drawing" Target="../drawings/drawing6.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5"/>
  <sheetViews>
    <sheetView tabSelected="1" zoomScale="80" zoomScaleNormal="80" workbookViewId="0">
      <selection activeCell="K1" sqref="K1:L1"/>
    </sheetView>
  </sheetViews>
  <sheetFormatPr defaultRowHeight="12.75"/>
  <cols>
    <col min="1" max="1" width="9.140625" style="543"/>
    <col min="2" max="4" width="9.42578125" style="543" customWidth="1"/>
    <col min="5" max="9" width="9.140625" style="543"/>
    <col min="10" max="10" width="5.7109375" style="543" customWidth="1"/>
    <col min="11" max="11" width="10.42578125" style="543" customWidth="1"/>
    <col min="12" max="12" width="11.85546875" style="543" customWidth="1"/>
    <col min="13" max="16384" width="9.140625" style="543"/>
  </cols>
  <sheetData>
    <row r="1" spans="1:12" ht="15.75">
      <c r="A1" s="541" t="s">
        <v>1238</v>
      </c>
      <c r="B1" s="542"/>
      <c r="C1" s="542"/>
      <c r="D1" s="542"/>
      <c r="E1" s="542"/>
      <c r="F1" s="542"/>
      <c r="G1" s="542"/>
      <c r="H1" s="542"/>
      <c r="I1" s="542"/>
      <c r="J1" s="542"/>
      <c r="K1" s="1363" t="s">
        <v>1244</v>
      </c>
      <c r="L1" s="1364"/>
    </row>
    <row r="2" spans="1:12">
      <c r="A2" s="544"/>
      <c r="B2" s="544"/>
      <c r="C2" s="544"/>
      <c r="D2" s="544"/>
      <c r="E2" s="544"/>
      <c r="F2" s="544"/>
      <c r="G2" s="544"/>
      <c r="H2" s="544"/>
      <c r="I2" s="544"/>
      <c r="J2" s="544"/>
    </row>
    <row r="3" spans="1:12">
      <c r="A3" s="545" t="s">
        <v>200</v>
      </c>
      <c r="B3" s="544"/>
      <c r="C3" s="544"/>
      <c r="D3" s="544"/>
      <c r="E3" s="544"/>
      <c r="F3" s="544"/>
      <c r="G3" s="544"/>
      <c r="H3" s="544"/>
      <c r="I3" s="544"/>
      <c r="J3" s="544"/>
    </row>
    <row r="4" spans="1:12">
      <c r="A4" s="544"/>
      <c r="B4" s="544"/>
      <c r="C4" s="544"/>
      <c r="D4" s="544"/>
      <c r="E4" s="544"/>
      <c r="F4" s="544"/>
      <c r="G4" s="544"/>
      <c r="H4" s="544"/>
      <c r="I4" s="544"/>
      <c r="J4" s="544"/>
    </row>
    <row r="5" spans="1:12">
      <c r="A5" s="544" t="s">
        <v>1239</v>
      </c>
      <c r="B5" s="544"/>
      <c r="C5" s="544"/>
      <c r="D5" s="544"/>
      <c r="E5" s="544"/>
      <c r="F5" s="544"/>
      <c r="G5" s="544"/>
      <c r="H5" s="544"/>
      <c r="I5" s="544"/>
      <c r="J5" s="544"/>
    </row>
    <row r="6" spans="1:12">
      <c r="A6" s="544" t="s">
        <v>379</v>
      </c>
      <c r="B6" s="544"/>
      <c r="C6" s="544"/>
      <c r="D6" s="544"/>
      <c r="E6" s="544"/>
      <c r="F6" s="544"/>
      <c r="G6" s="544"/>
      <c r="H6" s="544"/>
      <c r="I6" s="544"/>
      <c r="J6" s="544"/>
    </row>
    <row r="7" spans="1:12">
      <c r="A7" s="544" t="s">
        <v>395</v>
      </c>
      <c r="B7" s="544"/>
      <c r="C7" s="544"/>
      <c r="D7" s="544"/>
      <c r="E7" s="544"/>
      <c r="F7" s="544"/>
      <c r="G7" s="544"/>
      <c r="H7" s="544"/>
      <c r="I7" s="544"/>
      <c r="J7" s="544"/>
    </row>
    <row r="8" spans="1:12">
      <c r="A8" s="544" t="s">
        <v>138</v>
      </c>
      <c r="B8" s="544"/>
      <c r="C8" s="544"/>
      <c r="D8" s="544"/>
      <c r="E8" s="544"/>
      <c r="F8" s="544"/>
      <c r="G8" s="544"/>
      <c r="H8" s="544"/>
      <c r="I8" s="544"/>
      <c r="J8" s="544"/>
    </row>
    <row r="9" spans="1:12">
      <c r="A9" s="544" t="s">
        <v>139</v>
      </c>
      <c r="B9" s="544"/>
      <c r="C9" s="544"/>
      <c r="D9" s="544"/>
      <c r="E9" s="544"/>
      <c r="F9" s="544"/>
      <c r="G9" s="544"/>
      <c r="H9" s="544"/>
      <c r="I9" s="544"/>
      <c r="J9" s="544"/>
    </row>
    <row r="10" spans="1:12">
      <c r="A10" s="544" t="s">
        <v>12</v>
      </c>
      <c r="B10" s="544"/>
      <c r="C10" s="544"/>
      <c r="D10" s="544"/>
      <c r="E10" s="544"/>
      <c r="F10" s="544"/>
      <c r="G10" s="544"/>
      <c r="H10" s="544"/>
      <c r="I10" s="544"/>
      <c r="J10" s="544"/>
    </row>
    <row r="11" spans="1:12">
      <c r="A11" s="544"/>
      <c r="B11" s="544"/>
      <c r="C11" s="544"/>
      <c r="D11" s="544"/>
      <c r="E11" s="544"/>
      <c r="F11" s="544"/>
      <c r="G11" s="544"/>
      <c r="H11" s="544"/>
      <c r="I11" s="544"/>
      <c r="J11" s="544"/>
    </row>
    <row r="12" spans="1:12">
      <c r="A12" s="544" t="s">
        <v>1236</v>
      </c>
      <c r="B12" s="544"/>
      <c r="C12" s="544"/>
      <c r="D12" s="544"/>
      <c r="E12" s="544"/>
      <c r="F12" s="544"/>
      <c r="G12" s="544"/>
      <c r="H12" s="544"/>
      <c r="I12" s="544"/>
      <c r="J12" s="544"/>
    </row>
    <row r="13" spans="1:12">
      <c r="A13" s="544"/>
      <c r="B13" s="544"/>
      <c r="C13" s="544"/>
      <c r="D13" s="544"/>
      <c r="E13" s="544"/>
      <c r="F13" s="544"/>
      <c r="G13" s="544"/>
      <c r="H13" s="544"/>
      <c r="I13" s="544"/>
      <c r="J13" s="544"/>
    </row>
    <row r="14" spans="1:12">
      <c r="A14" s="1164" t="s">
        <v>201</v>
      </c>
      <c r="B14" s="1165"/>
      <c r="C14" s="1166"/>
      <c r="D14" s="1167" t="s">
        <v>202</v>
      </c>
      <c r="E14" s="1165"/>
      <c r="F14" s="1165"/>
      <c r="G14" s="1165"/>
      <c r="H14" s="1165"/>
      <c r="I14" s="1165"/>
      <c r="J14" s="1166"/>
    </row>
    <row r="15" spans="1:12">
      <c r="A15" s="1168" t="s">
        <v>203</v>
      </c>
      <c r="B15" s="1169"/>
      <c r="C15" s="1170"/>
      <c r="D15" s="1171" t="s">
        <v>204</v>
      </c>
      <c r="E15" s="1169"/>
      <c r="F15" s="1169"/>
      <c r="G15" s="1169"/>
      <c r="H15" s="1169"/>
      <c r="I15" s="1169"/>
      <c r="J15" s="1172"/>
    </row>
    <row r="16" spans="1:12">
      <c r="A16" s="1173" t="s">
        <v>1202</v>
      </c>
      <c r="B16" s="1174"/>
      <c r="C16" s="1175"/>
      <c r="D16" s="1176" t="s">
        <v>1203</v>
      </c>
      <c r="E16" s="1174"/>
      <c r="F16" s="1174"/>
      <c r="G16" s="1174"/>
      <c r="H16" s="1174"/>
      <c r="I16" s="1174"/>
      <c r="J16" s="1175"/>
    </row>
    <row r="17" spans="1:10">
      <c r="A17" s="1173" t="s">
        <v>221</v>
      </c>
      <c r="B17" s="1174"/>
      <c r="C17" s="1175"/>
      <c r="D17" s="1176" t="s">
        <v>222</v>
      </c>
      <c r="E17" s="1174"/>
      <c r="F17" s="1174"/>
      <c r="G17" s="1174"/>
      <c r="H17" s="1174"/>
      <c r="I17" s="1174"/>
      <c r="J17" s="1175"/>
    </row>
    <row r="18" spans="1:10">
      <c r="A18" s="1173" t="s">
        <v>163</v>
      </c>
      <c r="B18" s="1174"/>
      <c r="C18" s="1175"/>
      <c r="D18" s="1176" t="s">
        <v>164</v>
      </c>
      <c r="E18" s="1174"/>
      <c r="F18" s="1174"/>
      <c r="G18" s="1174"/>
      <c r="H18" s="1174"/>
      <c r="I18" s="1174"/>
      <c r="J18" s="1175"/>
    </row>
    <row r="19" spans="1:10">
      <c r="A19" s="1173" t="s">
        <v>1201</v>
      </c>
      <c r="B19" s="1174"/>
      <c r="C19" s="1175"/>
      <c r="D19" s="1176" t="s">
        <v>1204</v>
      </c>
      <c r="E19" s="1174"/>
      <c r="F19" s="1174"/>
      <c r="G19" s="1174"/>
      <c r="H19" s="1174"/>
      <c r="I19" s="1174"/>
      <c r="J19" s="1175"/>
    </row>
    <row r="20" spans="1:10">
      <c r="A20" s="1173" t="s">
        <v>1205</v>
      </c>
      <c r="B20" s="1174"/>
      <c r="C20" s="1175"/>
      <c r="D20" s="1176" t="s">
        <v>1206</v>
      </c>
      <c r="E20" s="1174"/>
      <c r="F20" s="1174"/>
      <c r="G20" s="1174"/>
      <c r="H20" s="1174"/>
      <c r="I20" s="1174"/>
      <c r="J20" s="1175"/>
    </row>
    <row r="21" spans="1:10">
      <c r="A21" s="1173" t="s">
        <v>1207</v>
      </c>
      <c r="B21" s="1174"/>
      <c r="C21" s="1175"/>
      <c r="D21" s="1176" t="s">
        <v>1208</v>
      </c>
      <c r="E21" s="1174"/>
      <c r="F21" s="1174"/>
      <c r="G21" s="1174"/>
      <c r="H21" s="1174"/>
      <c r="I21" s="1174"/>
      <c r="J21" s="1175"/>
    </row>
    <row r="22" spans="1:10">
      <c r="A22" s="1173" t="s">
        <v>1209</v>
      </c>
      <c r="B22" s="1174"/>
      <c r="C22" s="1175"/>
      <c r="D22" s="1176" t="s">
        <v>1210</v>
      </c>
      <c r="E22" s="1174"/>
      <c r="F22" s="1174"/>
      <c r="G22" s="1174"/>
      <c r="H22" s="1174"/>
      <c r="I22" s="1174"/>
      <c r="J22" s="1175"/>
    </row>
    <row r="23" spans="1:10">
      <c r="A23" s="1177" t="s">
        <v>1211</v>
      </c>
      <c r="B23" s="1178"/>
      <c r="C23" s="1179"/>
      <c r="D23" s="1180" t="s">
        <v>1212</v>
      </c>
      <c r="E23" s="1178"/>
      <c r="F23" s="1178"/>
      <c r="G23" s="1178"/>
      <c r="H23" s="1178"/>
      <c r="I23" s="1178"/>
      <c r="J23" s="1179"/>
    </row>
    <row r="24" spans="1:10">
      <c r="A24" s="552"/>
      <c r="B24" s="552"/>
      <c r="C24" s="552"/>
      <c r="D24" s="552"/>
      <c r="E24" s="552"/>
      <c r="F24" s="552"/>
      <c r="G24" s="552"/>
      <c r="H24" s="552"/>
      <c r="I24" s="552"/>
      <c r="J24" s="552"/>
    </row>
    <row r="25" spans="1:10">
      <c r="A25" s="545" t="s">
        <v>205</v>
      </c>
      <c r="B25" s="544"/>
      <c r="C25" s="544"/>
      <c r="D25" s="544"/>
      <c r="E25" s="544"/>
      <c r="F25" s="544"/>
      <c r="G25" s="544"/>
      <c r="H25" s="544"/>
      <c r="I25" s="544"/>
      <c r="J25" s="544"/>
    </row>
    <row r="26" spans="1:10">
      <c r="A26" s="544"/>
      <c r="B26" s="544"/>
      <c r="C26" s="544"/>
      <c r="D26" s="544"/>
      <c r="E26" s="544"/>
      <c r="F26" s="544"/>
      <c r="G26" s="544"/>
      <c r="H26" s="544"/>
      <c r="I26" s="544"/>
      <c r="J26" s="544"/>
    </row>
    <row r="27" spans="1:10">
      <c r="A27" s="544" t="s">
        <v>396</v>
      </c>
    </row>
    <row r="28" spans="1:10">
      <c r="A28" s="544" t="s">
        <v>397</v>
      </c>
    </row>
    <row r="29" spans="1:10">
      <c r="A29" s="544" t="s">
        <v>398</v>
      </c>
    </row>
    <row r="30" spans="1:10">
      <c r="A30" s="544" t="s">
        <v>399</v>
      </c>
    </row>
    <row r="31" spans="1:10">
      <c r="A31" s="553"/>
    </row>
    <row r="32" spans="1:10">
      <c r="A32" s="544" t="s">
        <v>400</v>
      </c>
      <c r="B32" s="544"/>
      <c r="C32" s="544"/>
      <c r="D32" s="544"/>
      <c r="E32" s="544"/>
      <c r="F32" s="544"/>
      <c r="G32" s="544"/>
      <c r="H32" s="544"/>
      <c r="I32" s="544"/>
      <c r="J32" s="544"/>
    </row>
    <row r="33" spans="1:10">
      <c r="A33" s="544" t="s">
        <v>401</v>
      </c>
      <c r="B33" s="544"/>
      <c r="C33" s="544"/>
      <c r="D33" s="544"/>
      <c r="E33" s="544"/>
      <c r="F33" s="544"/>
      <c r="G33" s="544"/>
      <c r="H33" s="544"/>
      <c r="I33" s="544"/>
      <c r="J33" s="544"/>
    </row>
    <row r="34" spans="1:10">
      <c r="A34" s="544"/>
      <c r="B34" s="544"/>
      <c r="C34" s="544"/>
      <c r="D34" s="544"/>
      <c r="E34" s="544"/>
      <c r="F34" s="544"/>
      <c r="G34" s="544"/>
      <c r="H34" s="544"/>
      <c r="I34" s="544"/>
      <c r="J34" s="544"/>
    </row>
    <row r="35" spans="1:10">
      <c r="A35" s="544" t="s">
        <v>259</v>
      </c>
      <c r="B35" s="544"/>
      <c r="C35" s="544"/>
      <c r="D35" s="544"/>
      <c r="E35" s="544"/>
      <c r="F35" s="544"/>
      <c r="G35" s="544"/>
      <c r="H35" s="544"/>
      <c r="I35" s="544"/>
      <c r="J35" s="544"/>
    </row>
    <row r="36" spans="1:10">
      <c r="A36" s="544" t="s">
        <v>402</v>
      </c>
      <c r="B36" s="544"/>
      <c r="C36" s="544"/>
      <c r="D36" s="544"/>
      <c r="E36" s="544"/>
      <c r="F36" s="544"/>
      <c r="G36" s="544"/>
      <c r="H36" s="544"/>
      <c r="I36" s="544"/>
      <c r="J36" s="544"/>
    </row>
    <row r="38" spans="1:10">
      <c r="A38" s="544" t="s">
        <v>260</v>
      </c>
      <c r="B38" s="544"/>
      <c r="C38" s="544"/>
      <c r="D38" s="544"/>
      <c r="E38" s="544"/>
      <c r="F38" s="544"/>
      <c r="G38" s="544"/>
      <c r="H38" s="544"/>
      <c r="I38" s="544"/>
      <c r="J38" s="544"/>
    </row>
    <row r="39" spans="1:10">
      <c r="A39" s="544" t="s">
        <v>403</v>
      </c>
    </row>
    <row r="40" spans="1:10">
      <c r="A40" s="544"/>
      <c r="B40" s="544"/>
      <c r="C40" s="544"/>
      <c r="D40" s="544"/>
      <c r="E40" s="544"/>
      <c r="F40" s="544"/>
      <c r="G40" s="544"/>
      <c r="H40" s="544"/>
      <c r="I40" s="544"/>
      <c r="J40" s="544"/>
    </row>
    <row r="41" spans="1:10">
      <c r="A41" s="544" t="s">
        <v>261</v>
      </c>
    </row>
    <row r="42" spans="1:10">
      <c r="A42" s="544" t="s">
        <v>404</v>
      </c>
    </row>
    <row r="44" spans="1:10">
      <c r="A44" s="544" t="s">
        <v>262</v>
      </c>
    </row>
    <row r="45" spans="1:10">
      <c r="A45" s="544" t="s">
        <v>376</v>
      </c>
    </row>
    <row r="46" spans="1:10">
      <c r="A46" s="544" t="s">
        <v>162</v>
      </c>
    </row>
    <row r="47" spans="1:10">
      <c r="A47" s="544"/>
      <c r="B47" s="544"/>
      <c r="C47" s="544"/>
      <c r="D47" s="544"/>
      <c r="E47" s="544"/>
      <c r="F47" s="544"/>
      <c r="G47" s="544"/>
      <c r="H47" s="544"/>
      <c r="I47" s="544"/>
      <c r="J47" s="544"/>
    </row>
    <row r="48" spans="1:10">
      <c r="A48" s="544" t="s">
        <v>134</v>
      </c>
      <c r="B48" s="544"/>
      <c r="C48" s="544"/>
      <c r="D48" s="544"/>
      <c r="E48" s="544"/>
      <c r="F48" s="544"/>
      <c r="G48" s="544"/>
      <c r="H48" s="544"/>
      <c r="I48" s="544"/>
      <c r="J48" s="544"/>
    </row>
    <row r="49" spans="1:10">
      <c r="A49" s="544" t="s">
        <v>344</v>
      </c>
      <c r="B49" s="544"/>
      <c r="C49" s="544"/>
      <c r="D49" s="544"/>
      <c r="E49" s="544"/>
      <c r="F49" s="544"/>
      <c r="G49" s="544"/>
      <c r="H49" s="544"/>
      <c r="I49" s="544"/>
      <c r="J49" s="544"/>
    </row>
    <row r="50" spans="1:10">
      <c r="A50" s="544"/>
      <c r="B50" s="544"/>
      <c r="C50" s="544"/>
      <c r="D50" s="544"/>
      <c r="E50" s="544"/>
      <c r="F50" s="544"/>
      <c r="G50" s="544"/>
      <c r="H50" s="544"/>
      <c r="I50" s="544"/>
      <c r="J50" s="544"/>
    </row>
    <row r="51" spans="1:10">
      <c r="A51" s="544" t="s">
        <v>135</v>
      </c>
      <c r="B51" s="544"/>
      <c r="C51" s="544"/>
      <c r="D51" s="544"/>
      <c r="E51" s="544"/>
      <c r="F51" s="544"/>
      <c r="G51" s="544"/>
      <c r="H51" s="544"/>
      <c r="I51" s="544"/>
      <c r="J51" s="544"/>
    </row>
    <row r="52" spans="1:10">
      <c r="A52" s="544" t="s">
        <v>345</v>
      </c>
      <c r="B52" s="544"/>
      <c r="C52" s="544"/>
      <c r="D52" s="544"/>
      <c r="E52" s="544"/>
      <c r="F52" s="544"/>
      <c r="G52" s="544"/>
      <c r="H52" s="544"/>
      <c r="I52" s="544"/>
      <c r="J52" s="544"/>
    </row>
    <row r="53" spans="1:10">
      <c r="A53" s="544"/>
      <c r="B53" s="544"/>
      <c r="C53" s="544"/>
      <c r="D53" s="544"/>
      <c r="E53" s="544"/>
      <c r="F53" s="544"/>
      <c r="G53" s="544"/>
      <c r="H53" s="544"/>
      <c r="I53" s="544"/>
      <c r="J53" s="544"/>
    </row>
    <row r="54" spans="1:10">
      <c r="A54" s="544" t="s">
        <v>136</v>
      </c>
      <c r="B54" s="544"/>
      <c r="C54" s="544"/>
      <c r="D54" s="544"/>
      <c r="E54" s="544"/>
      <c r="F54" s="544"/>
      <c r="G54" s="544"/>
      <c r="H54" s="544"/>
      <c r="I54" s="544"/>
      <c r="J54" s="544"/>
    </row>
    <row r="55" spans="1:10">
      <c r="A55" s="544" t="s">
        <v>206</v>
      </c>
      <c r="B55" s="544"/>
      <c r="C55" s="544"/>
      <c r="D55" s="544"/>
      <c r="E55" s="544"/>
      <c r="F55" s="544"/>
      <c r="G55" s="544"/>
      <c r="H55" s="544"/>
      <c r="I55" s="544"/>
      <c r="J55" s="544"/>
    </row>
    <row r="56" spans="1:10">
      <c r="A56" s="544" t="s">
        <v>207</v>
      </c>
      <c r="B56" s="544"/>
      <c r="C56" s="544"/>
      <c r="D56" s="544"/>
      <c r="E56" s="544"/>
      <c r="F56" s="544"/>
      <c r="G56" s="544"/>
      <c r="H56" s="544"/>
      <c r="I56" s="544"/>
      <c r="J56" s="544"/>
    </row>
    <row r="57" spans="1:10">
      <c r="A57" s="544" t="s">
        <v>208</v>
      </c>
      <c r="B57" s="544"/>
      <c r="C57" s="544"/>
      <c r="D57" s="544"/>
      <c r="E57" s="544"/>
      <c r="F57" s="544"/>
      <c r="G57" s="544"/>
      <c r="H57" s="544"/>
      <c r="I57" s="544"/>
      <c r="J57" s="544"/>
    </row>
    <row r="58" spans="1:10">
      <c r="A58" s="544"/>
      <c r="B58" s="544"/>
      <c r="C58" s="544"/>
      <c r="D58" s="544"/>
      <c r="E58" s="544"/>
      <c r="F58" s="544"/>
      <c r="G58" s="544"/>
      <c r="H58" s="544"/>
      <c r="I58" s="544"/>
      <c r="J58" s="544"/>
    </row>
    <row r="59" spans="1:10">
      <c r="A59" s="1181" t="s">
        <v>1213</v>
      </c>
      <c r="B59" s="1181"/>
      <c r="C59" s="1181"/>
      <c r="D59" s="1181"/>
      <c r="E59" s="1181"/>
      <c r="F59" s="1181"/>
      <c r="G59" s="1181"/>
      <c r="H59" s="1181"/>
      <c r="I59" s="1181"/>
      <c r="J59" s="1181"/>
    </row>
    <row r="60" spans="1:10">
      <c r="A60" s="1182" t="s">
        <v>25</v>
      </c>
      <c r="B60" s="1183" t="s">
        <v>507</v>
      </c>
      <c r="D60" s="1184"/>
      <c r="E60" s="1184"/>
      <c r="F60" s="1184"/>
      <c r="G60" s="1181"/>
      <c r="H60" s="1181"/>
      <c r="I60" s="1181"/>
      <c r="J60" s="1181"/>
    </row>
    <row r="61" spans="1:10">
      <c r="A61" s="554"/>
    </row>
    <row r="62" spans="1:10">
      <c r="A62" s="1365" t="s">
        <v>381</v>
      </c>
      <c r="B62" s="1366"/>
      <c r="C62" s="1366"/>
      <c r="D62" s="1366"/>
      <c r="E62" s="1366"/>
      <c r="F62" s="1366"/>
      <c r="G62" s="1366"/>
      <c r="H62" s="1366"/>
      <c r="I62" s="1366"/>
      <c r="J62" s="1367"/>
    </row>
    <row r="63" spans="1:10">
      <c r="A63" s="1365" t="s">
        <v>167</v>
      </c>
      <c r="B63" s="1366"/>
      <c r="C63" s="1366"/>
      <c r="D63" s="1366"/>
      <c r="E63" s="1367"/>
      <c r="F63" s="1365" t="s">
        <v>385</v>
      </c>
      <c r="G63" s="1367"/>
      <c r="H63" s="1365" t="s">
        <v>386</v>
      </c>
      <c r="I63" s="1366"/>
      <c r="J63" s="1367"/>
    </row>
    <row r="64" spans="1:10">
      <c r="A64" s="1368" t="s">
        <v>384</v>
      </c>
      <c r="B64" s="1369"/>
      <c r="C64" s="1369"/>
      <c r="D64" s="1369"/>
      <c r="E64" s="1370"/>
      <c r="F64" s="1357" t="s">
        <v>168</v>
      </c>
      <c r="G64" s="1359"/>
      <c r="H64" s="1357" t="s">
        <v>476</v>
      </c>
      <c r="I64" s="1358"/>
      <c r="J64" s="1359"/>
    </row>
    <row r="65" spans="1:10">
      <c r="A65" s="1351" t="s">
        <v>169</v>
      </c>
      <c r="B65" s="1352"/>
      <c r="C65" s="1352"/>
      <c r="D65" s="1352"/>
      <c r="E65" s="1353"/>
      <c r="F65" s="1354" t="s">
        <v>394</v>
      </c>
      <c r="G65" s="1356"/>
      <c r="H65" s="1360" t="s">
        <v>387</v>
      </c>
      <c r="I65" s="1361"/>
      <c r="J65" s="1362"/>
    </row>
    <row r="66" spans="1:10">
      <c r="A66" s="1351" t="s">
        <v>182</v>
      </c>
      <c r="B66" s="1352"/>
      <c r="C66" s="1352"/>
      <c r="D66" s="1352"/>
      <c r="E66" s="1353"/>
      <c r="F66" s="1354" t="s">
        <v>409</v>
      </c>
      <c r="G66" s="1356"/>
      <c r="H66" s="1354" t="s">
        <v>350</v>
      </c>
      <c r="I66" s="1355"/>
      <c r="J66" s="1356"/>
    </row>
    <row r="67" spans="1:10">
      <c r="A67" s="1351" t="s">
        <v>183</v>
      </c>
      <c r="B67" s="1352"/>
      <c r="C67" s="1352"/>
      <c r="D67" s="1352"/>
      <c r="E67" s="1353"/>
      <c r="F67" s="1354" t="s">
        <v>410</v>
      </c>
      <c r="G67" s="1356"/>
      <c r="H67" s="1354" t="s">
        <v>351</v>
      </c>
      <c r="I67" s="1355"/>
      <c r="J67" s="1356"/>
    </row>
    <row r="68" spans="1:10">
      <c r="A68" s="1351" t="s">
        <v>359</v>
      </c>
      <c r="B68" s="1352"/>
      <c r="C68" s="1352"/>
      <c r="D68" s="1352"/>
      <c r="E68" s="1353"/>
      <c r="F68" s="1354" t="s">
        <v>394</v>
      </c>
      <c r="G68" s="1356"/>
      <c r="H68" s="1354" t="s">
        <v>347</v>
      </c>
      <c r="I68" s="1355"/>
      <c r="J68" s="1356"/>
    </row>
    <row r="69" spans="1:10">
      <c r="A69" s="1351" t="s">
        <v>184</v>
      </c>
      <c r="B69" s="1352"/>
      <c r="C69" s="1352"/>
      <c r="D69" s="1352"/>
      <c r="E69" s="1353"/>
      <c r="F69" s="1354" t="s">
        <v>388</v>
      </c>
      <c r="G69" s="1356"/>
      <c r="H69" s="1354" t="s">
        <v>348</v>
      </c>
      <c r="I69" s="1355"/>
      <c r="J69" s="1356"/>
    </row>
    <row r="70" spans="1:10">
      <c r="A70" s="555" t="s">
        <v>185</v>
      </c>
      <c r="B70" s="556"/>
      <c r="C70" s="556"/>
      <c r="D70" s="556"/>
      <c r="E70" s="557"/>
      <c r="F70" s="546" t="s">
        <v>389</v>
      </c>
      <c r="G70" s="548"/>
      <c r="H70" s="546" t="s">
        <v>349</v>
      </c>
      <c r="I70" s="547"/>
      <c r="J70" s="548"/>
    </row>
    <row r="71" spans="1:10">
      <c r="A71" s="555" t="s">
        <v>186</v>
      </c>
      <c r="B71" s="556"/>
      <c r="C71" s="556"/>
      <c r="D71" s="556"/>
      <c r="E71" s="557"/>
      <c r="F71" s="546" t="s">
        <v>352</v>
      </c>
      <c r="G71" s="548"/>
      <c r="H71" s="546" t="s">
        <v>353</v>
      </c>
      <c r="I71" s="547"/>
      <c r="J71" s="548"/>
    </row>
    <row r="72" spans="1:10">
      <c r="A72" s="555" t="s">
        <v>187</v>
      </c>
      <c r="B72" s="556"/>
      <c r="C72" s="556"/>
      <c r="D72" s="556"/>
      <c r="E72" s="557"/>
      <c r="F72" s="546" t="s">
        <v>170</v>
      </c>
      <c r="G72" s="548"/>
      <c r="H72" s="546" t="s">
        <v>354</v>
      </c>
      <c r="I72" s="547"/>
      <c r="J72" s="548"/>
    </row>
    <row r="73" spans="1:10">
      <c r="A73" s="555" t="s">
        <v>188</v>
      </c>
      <c r="B73" s="556"/>
      <c r="C73" s="556"/>
      <c r="D73" s="556"/>
      <c r="E73" s="557"/>
      <c r="F73" s="546" t="s">
        <v>171</v>
      </c>
      <c r="G73" s="548"/>
      <c r="H73" s="546" t="s">
        <v>356</v>
      </c>
      <c r="I73" s="547"/>
      <c r="J73" s="548"/>
    </row>
    <row r="74" spans="1:10">
      <c r="A74" s="555" t="s">
        <v>189</v>
      </c>
      <c r="B74" s="556"/>
      <c r="C74" s="556"/>
      <c r="D74" s="556"/>
      <c r="E74" s="557"/>
      <c r="F74" s="546" t="s">
        <v>172</v>
      </c>
      <c r="G74" s="548"/>
      <c r="H74" s="546" t="s">
        <v>355</v>
      </c>
      <c r="I74" s="547"/>
      <c r="J74" s="548"/>
    </row>
    <row r="75" spans="1:10">
      <c r="A75" s="555" t="s">
        <v>390</v>
      </c>
      <c r="B75" s="556"/>
      <c r="C75" s="556"/>
      <c r="D75" s="556"/>
      <c r="E75" s="557"/>
      <c r="F75" s="546" t="s">
        <v>394</v>
      </c>
      <c r="G75" s="548"/>
      <c r="H75" s="546" t="s">
        <v>357</v>
      </c>
      <c r="I75" s="547"/>
      <c r="J75" s="548"/>
    </row>
    <row r="76" spans="1:10">
      <c r="A76" s="555" t="s">
        <v>391</v>
      </c>
      <c r="B76" s="556"/>
      <c r="C76" s="556"/>
      <c r="D76" s="556"/>
      <c r="E76" s="557"/>
      <c r="F76" s="546" t="s">
        <v>394</v>
      </c>
      <c r="G76" s="548"/>
      <c r="H76" s="546" t="s">
        <v>358</v>
      </c>
      <c r="I76" s="547"/>
      <c r="J76" s="548"/>
    </row>
    <row r="77" spans="1:10">
      <c r="A77" s="555" t="s">
        <v>173</v>
      </c>
      <c r="B77" s="556"/>
      <c r="C77" s="556"/>
      <c r="D77" s="556"/>
      <c r="E77" s="557"/>
      <c r="F77" s="546" t="s">
        <v>394</v>
      </c>
      <c r="G77" s="548"/>
      <c r="H77" s="546" t="s">
        <v>360</v>
      </c>
      <c r="I77" s="547"/>
      <c r="J77" s="548"/>
    </row>
    <row r="78" spans="1:10">
      <c r="A78" s="555" t="s">
        <v>174</v>
      </c>
      <c r="B78" s="556"/>
      <c r="C78" s="556"/>
      <c r="D78" s="556"/>
      <c r="E78" s="557"/>
      <c r="F78" s="546" t="s">
        <v>394</v>
      </c>
      <c r="G78" s="548"/>
      <c r="H78" s="546" t="s">
        <v>361</v>
      </c>
      <c r="I78" s="547"/>
      <c r="J78" s="548"/>
    </row>
    <row r="79" spans="1:10">
      <c r="A79" s="555" t="s">
        <v>190</v>
      </c>
      <c r="B79" s="556"/>
      <c r="C79" s="556"/>
      <c r="D79" s="556"/>
      <c r="E79" s="557"/>
      <c r="F79" s="546" t="s">
        <v>394</v>
      </c>
      <c r="G79" s="548"/>
      <c r="H79" s="546" t="s">
        <v>362</v>
      </c>
      <c r="I79" s="547"/>
      <c r="J79" s="548"/>
    </row>
    <row r="80" spans="1:10">
      <c r="A80" s="555" t="s">
        <v>175</v>
      </c>
      <c r="B80" s="556"/>
      <c r="C80" s="556"/>
      <c r="D80" s="556"/>
      <c r="E80" s="557"/>
      <c r="F80" s="546" t="s">
        <v>394</v>
      </c>
      <c r="G80" s="548"/>
      <c r="H80" s="546" t="s">
        <v>363</v>
      </c>
      <c r="I80" s="547"/>
      <c r="J80" s="548"/>
    </row>
    <row r="81" spans="1:10">
      <c r="A81" s="555" t="s">
        <v>176</v>
      </c>
      <c r="B81" s="556"/>
      <c r="C81" s="556"/>
      <c r="D81" s="556"/>
      <c r="E81" s="557"/>
      <c r="F81" s="546" t="s">
        <v>394</v>
      </c>
      <c r="G81" s="548"/>
      <c r="H81" s="546" t="s">
        <v>364</v>
      </c>
      <c r="I81" s="547"/>
      <c r="J81" s="548"/>
    </row>
    <row r="82" spans="1:10">
      <c r="A82" s="555" t="s">
        <v>177</v>
      </c>
      <c r="B82" s="556"/>
      <c r="C82" s="556"/>
      <c r="D82" s="556"/>
      <c r="E82" s="557"/>
      <c r="F82" s="546" t="s">
        <v>394</v>
      </c>
      <c r="G82" s="548"/>
      <c r="H82" s="546" t="s">
        <v>365</v>
      </c>
      <c r="I82" s="547"/>
      <c r="J82" s="548"/>
    </row>
    <row r="83" spans="1:10">
      <c r="A83" s="555" t="s">
        <v>178</v>
      </c>
      <c r="B83" s="556"/>
      <c r="C83" s="556"/>
      <c r="D83" s="556"/>
      <c r="E83" s="557"/>
      <c r="F83" s="546" t="s">
        <v>394</v>
      </c>
      <c r="G83" s="548"/>
      <c r="H83" s="546" t="s">
        <v>366</v>
      </c>
      <c r="I83" s="547"/>
      <c r="J83" s="548"/>
    </row>
    <row r="84" spans="1:10">
      <c r="A84" s="555" t="s">
        <v>179</v>
      </c>
      <c r="B84" s="556"/>
      <c r="C84" s="556"/>
      <c r="D84" s="556"/>
      <c r="E84" s="557"/>
      <c r="F84" s="546" t="s">
        <v>394</v>
      </c>
      <c r="G84" s="548"/>
      <c r="H84" s="546" t="s">
        <v>367</v>
      </c>
      <c r="I84" s="547"/>
      <c r="J84" s="548"/>
    </row>
    <row r="85" spans="1:10">
      <c r="A85" s="555" t="s">
        <v>180</v>
      </c>
      <c r="B85" s="556"/>
      <c r="C85" s="556"/>
      <c r="D85" s="556"/>
      <c r="E85" s="557"/>
      <c r="F85" s="546" t="s">
        <v>394</v>
      </c>
      <c r="G85" s="548"/>
      <c r="H85" s="546" t="s">
        <v>382</v>
      </c>
      <c r="I85" s="547"/>
      <c r="J85" s="548"/>
    </row>
    <row r="86" spans="1:10">
      <c r="A86" s="558" t="s">
        <v>181</v>
      </c>
      <c r="B86" s="559"/>
      <c r="C86" s="559"/>
      <c r="D86" s="559"/>
      <c r="E86" s="560"/>
      <c r="F86" s="549" t="s">
        <v>394</v>
      </c>
      <c r="G86" s="551"/>
      <c r="H86" s="549" t="s">
        <v>383</v>
      </c>
      <c r="I86" s="550"/>
      <c r="J86" s="551"/>
    </row>
    <row r="87" spans="1:10">
      <c r="A87" s="561"/>
      <c r="B87" s="561"/>
      <c r="C87" s="561"/>
      <c r="D87" s="561"/>
      <c r="E87" s="561"/>
      <c r="F87" s="544"/>
      <c r="G87" s="544"/>
      <c r="H87" s="544"/>
      <c r="I87" s="544"/>
      <c r="J87" s="544"/>
    </row>
    <row r="88" spans="1:10">
      <c r="A88" s="563" t="s">
        <v>482</v>
      </c>
      <c r="B88" s="544"/>
      <c r="C88" s="544"/>
      <c r="D88" s="544"/>
      <c r="E88" s="544"/>
      <c r="F88" s="544"/>
      <c r="G88" s="544"/>
      <c r="H88" s="544"/>
      <c r="I88" s="544"/>
      <c r="J88" s="562"/>
    </row>
    <row r="89" spans="1:10">
      <c r="A89" s="544" t="s">
        <v>392</v>
      </c>
      <c r="B89" s="544"/>
      <c r="C89" s="544"/>
      <c r="D89" s="544"/>
      <c r="E89" s="544"/>
      <c r="F89" s="544"/>
      <c r="G89" s="544"/>
      <c r="H89" s="544"/>
      <c r="I89" s="544"/>
      <c r="J89" s="562"/>
    </row>
    <row r="90" spans="1:10">
      <c r="A90" s="544" t="s">
        <v>393</v>
      </c>
      <c r="B90" s="544"/>
      <c r="C90" s="544"/>
      <c r="D90" s="544"/>
      <c r="E90" s="544"/>
      <c r="F90" s="544"/>
      <c r="G90" s="544"/>
      <c r="H90" s="544"/>
      <c r="I90" s="544"/>
      <c r="J90" s="562"/>
    </row>
    <row r="91" spans="1:10">
      <c r="A91" s="561"/>
      <c r="B91" s="561"/>
      <c r="C91" s="561"/>
      <c r="D91" s="561"/>
      <c r="E91" s="561"/>
      <c r="F91" s="561"/>
      <c r="G91" s="561"/>
      <c r="H91" s="561"/>
      <c r="I91" s="561"/>
      <c r="J91" s="561"/>
    </row>
    <row r="92" spans="1:10">
      <c r="A92" s="544" t="s">
        <v>486</v>
      </c>
      <c r="B92" s="561"/>
      <c r="C92" s="561"/>
      <c r="D92" s="561"/>
      <c r="E92" s="561"/>
      <c r="F92" s="561"/>
      <c r="G92" s="561"/>
      <c r="H92" s="561"/>
      <c r="I92" s="561"/>
      <c r="J92" s="561"/>
    </row>
    <row r="93" spans="1:10">
      <c r="A93" s="544" t="s">
        <v>483</v>
      </c>
      <c r="B93" s="561"/>
      <c r="C93" s="561"/>
      <c r="D93" s="561"/>
      <c r="E93" s="561"/>
      <c r="F93" s="561"/>
      <c r="G93" s="561"/>
      <c r="H93" s="561"/>
      <c r="I93" s="561"/>
      <c r="J93" s="561"/>
    </row>
    <row r="94" spans="1:10">
      <c r="A94" s="544" t="s">
        <v>484</v>
      </c>
      <c r="B94" s="561"/>
      <c r="C94" s="561"/>
      <c r="D94" s="561"/>
      <c r="E94" s="561"/>
      <c r="F94" s="561"/>
      <c r="G94" s="561"/>
      <c r="H94" s="561"/>
      <c r="I94" s="561"/>
      <c r="J94" s="561"/>
    </row>
    <row r="95" spans="1:10">
      <c r="A95" s="544" t="s">
        <v>485</v>
      </c>
    </row>
  </sheetData>
  <sheetProtection sheet="1" objects="1" scenarios="1" selectLockedCells="1"/>
  <mergeCells count="23">
    <mergeCell ref="H64:J64"/>
    <mergeCell ref="H65:J65"/>
    <mergeCell ref="K1:L1"/>
    <mergeCell ref="A62:J62"/>
    <mergeCell ref="A63:E63"/>
    <mergeCell ref="H63:J63"/>
    <mergeCell ref="F63:G63"/>
    <mergeCell ref="A64:E64"/>
    <mergeCell ref="A65:E65"/>
    <mergeCell ref="F65:G65"/>
    <mergeCell ref="F64:G64"/>
    <mergeCell ref="A66:E66"/>
    <mergeCell ref="A67:E67"/>
    <mergeCell ref="A68:E68"/>
    <mergeCell ref="A69:E69"/>
    <mergeCell ref="H66:J66"/>
    <mergeCell ref="H67:J67"/>
    <mergeCell ref="H68:J68"/>
    <mergeCell ref="H69:J69"/>
    <mergeCell ref="F66:G66"/>
    <mergeCell ref="F68:G68"/>
    <mergeCell ref="F67:G67"/>
    <mergeCell ref="F69:G69"/>
  </mergeCells>
  <phoneticPr fontId="59" type="noConversion"/>
  <hyperlinks>
    <hyperlink ref="B60:F60" r:id="rId1" display="http://earthquake.usgs.gov/designmaps/us/application.php"/>
  </hyperlinks>
  <pageMargins left="1" right="0.5" top="1" bottom="1" header="0.5" footer="0.5"/>
  <pageSetup scale="89" orientation="portrait" r:id="rId2"/>
  <headerFooter alignWithMargins="0"/>
  <rowBreaks count="1" manualBreakCount="1">
    <brk id="46" max="9"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31121111111121111154"/>
  <dimension ref="A1:EC388"/>
  <sheetViews>
    <sheetView showGridLines="0" zoomScaleNormal="100" zoomScaleSheetLayoutView="100" workbookViewId="0">
      <selection activeCell="C22" sqref="C22"/>
    </sheetView>
  </sheetViews>
  <sheetFormatPr defaultRowHeight="12.75"/>
  <cols>
    <col min="1" max="1" width="13.140625" style="65" customWidth="1"/>
    <col min="2" max="2" width="9.85546875" style="65" customWidth="1"/>
    <col min="3" max="3" width="12.28515625" style="65" customWidth="1"/>
    <col min="4" max="4" width="10.5703125" style="65" customWidth="1"/>
    <col min="5" max="5" width="9.7109375" style="65" customWidth="1"/>
    <col min="6" max="6" width="9.42578125" style="65" customWidth="1"/>
    <col min="7" max="7" width="9.140625" style="65"/>
    <col min="8" max="8" width="8.5703125" style="65" customWidth="1"/>
    <col min="9" max="9" width="10.7109375" style="65" customWidth="1"/>
    <col min="10" max="10" width="9.140625" style="77" hidden="1" customWidth="1"/>
    <col min="11" max="11" width="13.7109375" style="77" hidden="1" customWidth="1"/>
    <col min="12" max="12" width="24.7109375" style="19" hidden="1" customWidth="1"/>
    <col min="13" max="14" width="12.7109375" style="19" hidden="1" customWidth="1"/>
    <col min="15" max="15" width="12.7109375" style="27" hidden="1" customWidth="1"/>
    <col min="16" max="17" width="12.7109375" style="19" hidden="1" customWidth="1"/>
    <col min="18" max="19" width="9.140625" style="19" hidden="1" customWidth="1"/>
    <col min="20" max="20" width="4.7109375" style="19" hidden="1" customWidth="1"/>
    <col min="21" max="21" width="61.7109375" style="19" hidden="1" customWidth="1"/>
    <col min="22" max="24" width="9.140625" style="19" hidden="1" customWidth="1"/>
    <col min="25" max="25" width="10.85546875" style="19" hidden="1" customWidth="1"/>
    <col min="26" max="36" width="9.140625" style="19" hidden="1" customWidth="1"/>
    <col min="37" max="37" width="12.85546875" style="19" customWidth="1"/>
    <col min="38" max="38" width="10.140625" style="19" customWidth="1"/>
    <col min="39" max="39" width="9.140625" style="77" customWidth="1"/>
    <col min="40" max="40" width="12.85546875" style="77" customWidth="1"/>
    <col min="41" max="42" width="10.140625" style="77" customWidth="1"/>
    <col min="43" max="45" width="9.140625" style="77" customWidth="1"/>
    <col min="46" max="49" width="12.85546875" style="77" customWidth="1"/>
    <col min="50" max="50" width="20.7109375" style="77" customWidth="1"/>
    <col min="51" max="51" width="6.7109375" style="77" customWidth="1"/>
    <col min="52" max="52" width="8.140625" style="77" customWidth="1"/>
    <col min="53" max="53" width="6.7109375" style="77" customWidth="1"/>
    <col min="54" max="54" width="10.42578125" style="77" customWidth="1"/>
    <col min="55" max="55" width="6.7109375" style="77" customWidth="1"/>
    <col min="56" max="56" width="10.28515625" style="77" customWidth="1"/>
    <col min="57" max="61" width="7.7109375" style="77" customWidth="1"/>
    <col min="62" max="123" width="9.140625" style="19" customWidth="1"/>
    <col min="124" max="124" width="9.140625" style="70" customWidth="1"/>
    <col min="125" max="203" width="9.140625" style="19" customWidth="1"/>
    <col min="204" max="16384" width="9.140625" style="19"/>
  </cols>
  <sheetData>
    <row r="1" spans="1:133" ht="15.75">
      <c r="A1" s="7" t="s">
        <v>79</v>
      </c>
      <c r="B1" s="8"/>
      <c r="C1" s="9"/>
      <c r="D1" s="9"/>
      <c r="E1" s="9"/>
      <c r="F1" s="9"/>
      <c r="G1" s="10"/>
      <c r="H1" s="10"/>
      <c r="I1" s="11"/>
      <c r="J1" s="12"/>
      <c r="K1" s="13" t="s">
        <v>25</v>
      </c>
      <c r="L1" s="4" t="s">
        <v>55</v>
      </c>
      <c r="M1" s="14"/>
      <c r="N1" s="15"/>
      <c r="O1" s="16"/>
      <c r="P1" s="16"/>
      <c r="Q1" s="16"/>
      <c r="R1" s="16"/>
      <c r="S1" s="16"/>
      <c r="U1" s="16"/>
      <c r="V1" s="16"/>
      <c r="W1" s="16"/>
      <c r="X1" s="16"/>
      <c r="Y1" s="16"/>
      <c r="Z1" s="16"/>
      <c r="AA1" s="16"/>
      <c r="AB1" s="16"/>
      <c r="AC1" s="16"/>
      <c r="AD1" s="16"/>
      <c r="AE1" s="16"/>
      <c r="AF1" s="16"/>
      <c r="AG1" s="16"/>
      <c r="AH1" s="16"/>
      <c r="AJ1" s="16"/>
      <c r="AK1" s="1371" t="str">
        <f>Doc!$K$1</f>
        <v>Version 2.3 Updated 8/1/16</v>
      </c>
      <c r="AL1" s="1372"/>
      <c r="AM1" s="15"/>
      <c r="AN1" s="15"/>
      <c r="AO1" s="15"/>
      <c r="AP1" s="15"/>
      <c r="AQ1" s="15"/>
      <c r="AR1" s="15"/>
      <c r="AS1" s="15"/>
      <c r="AT1" s="565" t="s">
        <v>413</v>
      </c>
      <c r="AU1" s="566"/>
      <c r="AV1" s="566"/>
      <c r="AW1" s="566"/>
      <c r="AX1" s="566"/>
      <c r="AY1" s="566"/>
      <c r="AZ1" s="566"/>
      <c r="BA1" s="566"/>
      <c r="BB1" s="566"/>
      <c r="BC1" s="566"/>
      <c r="BD1" s="566"/>
      <c r="BE1" s="566"/>
      <c r="BF1" s="566"/>
      <c r="BG1" s="566"/>
      <c r="BH1" s="566"/>
      <c r="BI1" s="567"/>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7"/>
      <c r="DT1" s="18"/>
      <c r="DX1" s="20"/>
      <c r="DY1" s="21"/>
    </row>
    <row r="2" spans="1:133" ht="12.75" customHeight="1">
      <c r="A2" s="22" t="s">
        <v>452</v>
      </c>
      <c r="B2" s="23"/>
      <c r="C2" s="23"/>
      <c r="D2" s="23"/>
      <c r="E2" s="23"/>
      <c r="F2" s="23"/>
      <c r="G2" s="23"/>
      <c r="H2" s="23"/>
      <c r="I2" s="24"/>
      <c r="J2" s="25"/>
      <c r="K2" s="13" t="s">
        <v>25</v>
      </c>
      <c r="L2" s="14" t="s">
        <v>25</v>
      </c>
      <c r="M2" s="14" t="s">
        <v>25</v>
      </c>
      <c r="N2" s="15"/>
      <c r="O2" s="26"/>
      <c r="P2" s="15"/>
      <c r="Q2" s="15"/>
      <c r="R2" s="15"/>
      <c r="S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568" t="s">
        <v>487</v>
      </c>
      <c r="AU2" s="569"/>
      <c r="AV2" s="569"/>
      <c r="AW2" s="569"/>
      <c r="AX2" s="569"/>
      <c r="AY2" s="569"/>
      <c r="AZ2" s="569"/>
      <c r="BA2" s="569"/>
      <c r="BB2" s="569"/>
      <c r="BC2" s="569"/>
      <c r="BD2" s="569"/>
      <c r="BE2" s="569"/>
      <c r="BF2" s="569"/>
      <c r="BG2" s="569"/>
      <c r="BH2" s="569"/>
      <c r="BI2" s="570"/>
      <c r="BJ2" s="16"/>
      <c r="BK2" s="16"/>
      <c r="BL2" s="16"/>
      <c r="BM2" s="16"/>
      <c r="BN2" s="16"/>
      <c r="BO2" s="16"/>
      <c r="BP2" s="16"/>
      <c r="BQ2" s="16"/>
      <c r="BR2" s="16"/>
      <c r="BS2" s="16"/>
      <c r="BT2" s="16"/>
      <c r="BU2" s="16"/>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8"/>
      <c r="DX2" s="20"/>
      <c r="DY2" s="25"/>
      <c r="DZ2" s="27"/>
      <c r="EC2" s="28"/>
    </row>
    <row r="3" spans="1:133" ht="12.75" customHeight="1">
      <c r="A3" s="29" t="s">
        <v>378</v>
      </c>
      <c r="B3" s="30"/>
      <c r="C3" s="31"/>
      <c r="D3" s="31"/>
      <c r="E3" s="31"/>
      <c r="F3" s="31"/>
      <c r="G3" s="31"/>
      <c r="H3" s="31"/>
      <c r="I3" s="32"/>
      <c r="J3" s="33"/>
      <c r="K3" s="34" t="s">
        <v>28</v>
      </c>
      <c r="L3" s="270" t="s">
        <v>456</v>
      </c>
      <c r="M3" s="36"/>
      <c r="N3" s="36"/>
      <c r="O3" s="36"/>
      <c r="P3" s="36"/>
      <c r="Q3" s="37"/>
      <c r="R3" s="38"/>
      <c r="S3" s="38"/>
      <c r="T3" s="270" t="s">
        <v>413</v>
      </c>
      <c r="U3" s="271"/>
      <c r="V3" s="272"/>
      <c r="W3" s="272"/>
      <c r="X3" s="272"/>
      <c r="Y3" s="272"/>
      <c r="Z3" s="272"/>
      <c r="AA3" s="272"/>
      <c r="AB3" s="272"/>
      <c r="AC3" s="273"/>
      <c r="AD3" s="15"/>
      <c r="AE3" s="15"/>
      <c r="AF3" s="15"/>
      <c r="AG3" s="15"/>
      <c r="AH3" s="15"/>
      <c r="AI3" s="15"/>
      <c r="AJ3" s="15"/>
      <c r="AK3" s="15"/>
      <c r="AL3" s="15"/>
      <c r="AM3" s="15"/>
      <c r="AN3" s="15"/>
      <c r="AO3" s="15"/>
      <c r="AP3" s="15"/>
      <c r="AQ3" s="15"/>
      <c r="AR3" s="15"/>
      <c r="AS3" s="15"/>
      <c r="AT3" s="571"/>
      <c r="AU3" s="572"/>
      <c r="AV3" s="572"/>
      <c r="AW3" s="572"/>
      <c r="AX3" s="573"/>
      <c r="AY3" s="574" t="s">
        <v>488</v>
      </c>
      <c r="AZ3" s="575"/>
      <c r="BA3" s="574" t="s">
        <v>489</v>
      </c>
      <c r="BB3" s="575"/>
      <c r="BC3" s="576"/>
      <c r="BD3" s="577"/>
      <c r="BE3" s="574" t="s">
        <v>490</v>
      </c>
      <c r="BF3" s="578"/>
      <c r="BG3" s="578"/>
      <c r="BH3" s="578"/>
      <c r="BI3" s="57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8"/>
      <c r="DX3" s="20"/>
      <c r="DY3" s="39"/>
      <c r="EC3" s="27"/>
    </row>
    <row r="4" spans="1:133" ht="12.75" customHeight="1">
      <c r="A4" s="5" t="s">
        <v>24</v>
      </c>
      <c r="B4" s="1346"/>
      <c r="C4" s="248"/>
      <c r="D4" s="248"/>
      <c r="E4" s="248"/>
      <c r="F4" s="40" t="s">
        <v>40</v>
      </c>
      <c r="G4" s="1059"/>
      <c r="H4" s="373"/>
      <c r="I4" s="374"/>
      <c r="J4" s="33"/>
      <c r="K4" s="34" t="s">
        <v>30</v>
      </c>
      <c r="L4" s="41" t="s">
        <v>145</v>
      </c>
      <c r="M4" s="42"/>
      <c r="N4" s="42"/>
      <c r="O4" s="42"/>
      <c r="P4" s="42"/>
      <c r="Q4" s="43"/>
      <c r="R4" s="38"/>
      <c r="S4" s="38"/>
      <c r="T4" s="274" t="s">
        <v>292</v>
      </c>
      <c r="U4" s="275"/>
      <c r="V4" s="276"/>
      <c r="W4" s="276"/>
      <c r="X4" s="276"/>
      <c r="Y4" s="276"/>
      <c r="Z4" s="276"/>
      <c r="AA4" s="276"/>
      <c r="AB4" s="276"/>
      <c r="AC4" s="277"/>
      <c r="AD4" s="15"/>
      <c r="AE4" s="15"/>
      <c r="AF4" s="15"/>
      <c r="AG4" s="15"/>
      <c r="AH4" s="15"/>
      <c r="AI4" s="15"/>
      <c r="AJ4" s="61"/>
      <c r="AK4" s="62"/>
      <c r="AL4" s="62"/>
      <c r="AM4" s="61" t="s">
        <v>491</v>
      </c>
      <c r="AN4" s="62"/>
      <c r="AO4" s="62"/>
      <c r="AP4" s="63"/>
      <c r="AQ4" s="15"/>
      <c r="AR4" s="15"/>
      <c r="AS4" s="15"/>
      <c r="AT4" s="579"/>
      <c r="AU4" s="580"/>
      <c r="AV4" s="580"/>
      <c r="AW4" s="580"/>
      <c r="AX4" s="581"/>
      <c r="AY4" s="582" t="s">
        <v>492</v>
      </c>
      <c r="AZ4" s="583"/>
      <c r="BA4" s="582" t="s">
        <v>493</v>
      </c>
      <c r="BB4" s="583"/>
      <c r="BC4" s="582" t="s">
        <v>494</v>
      </c>
      <c r="BD4" s="583"/>
      <c r="BE4" s="582" t="s">
        <v>495</v>
      </c>
      <c r="BF4" s="584"/>
      <c r="BG4" s="584"/>
      <c r="BH4" s="584"/>
      <c r="BI4" s="583"/>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8"/>
      <c r="DX4" s="20"/>
      <c r="DY4" s="27"/>
      <c r="DZ4" s="33"/>
      <c r="EC4" s="44"/>
    </row>
    <row r="5" spans="1:133" ht="12.75" customHeight="1">
      <c r="A5" s="5" t="s">
        <v>26</v>
      </c>
      <c r="B5" s="1347"/>
      <c r="C5" s="250"/>
      <c r="D5" s="250"/>
      <c r="E5" s="250"/>
      <c r="F5" s="6" t="s">
        <v>41</v>
      </c>
      <c r="G5" s="1348"/>
      <c r="H5" s="6" t="s">
        <v>39</v>
      </c>
      <c r="I5" s="1348"/>
      <c r="J5" s="33"/>
      <c r="K5" s="34" t="s">
        <v>27</v>
      </c>
      <c r="L5" s="45" t="s">
        <v>37</v>
      </c>
      <c r="M5" s="46" t="s">
        <v>69</v>
      </c>
      <c r="N5" s="46" t="s">
        <v>70</v>
      </c>
      <c r="O5" s="46" t="s">
        <v>71</v>
      </c>
      <c r="P5" s="46" t="s">
        <v>72</v>
      </c>
      <c r="Q5" s="46" t="s">
        <v>73</v>
      </c>
      <c r="R5" s="47" t="s">
        <v>56</v>
      </c>
      <c r="S5" s="47"/>
      <c r="T5" s="270"/>
      <c r="U5" s="278"/>
      <c r="V5" s="282"/>
      <c r="W5" s="401"/>
      <c r="X5" s="282"/>
      <c r="Y5" s="286" t="s">
        <v>148</v>
      </c>
      <c r="Z5" s="287"/>
      <c r="AA5" s="287"/>
      <c r="AB5" s="287"/>
      <c r="AC5" s="288"/>
      <c r="AD5" s="282"/>
      <c r="AE5" s="282"/>
      <c r="AF5" s="13"/>
      <c r="AG5" s="13"/>
      <c r="AH5" s="13"/>
      <c r="AI5" s="15"/>
      <c r="AJ5" s="618"/>
      <c r="AK5" s="618"/>
      <c r="AL5" s="618"/>
      <c r="AM5" s="1379" t="s">
        <v>575</v>
      </c>
      <c r="AN5" s="1379"/>
      <c r="AO5" s="1379"/>
      <c r="AP5" s="1379"/>
      <c r="AQ5" s="15"/>
      <c r="AR5" s="15"/>
      <c r="AS5" s="15"/>
      <c r="AT5" s="582" t="s">
        <v>496</v>
      </c>
      <c r="AU5" s="584"/>
      <c r="AV5" s="584"/>
      <c r="AW5" s="584"/>
      <c r="AX5" s="583"/>
      <c r="AY5" s="582" t="s">
        <v>497</v>
      </c>
      <c r="AZ5" s="583"/>
      <c r="BA5" s="582" t="s">
        <v>498</v>
      </c>
      <c r="BB5" s="583"/>
      <c r="BC5" s="582" t="s">
        <v>499</v>
      </c>
      <c r="BD5" s="583"/>
      <c r="BE5" s="585" t="s">
        <v>91</v>
      </c>
      <c r="BF5" s="586"/>
      <c r="BG5" s="586"/>
      <c r="BH5" s="586"/>
      <c r="BI5" s="587"/>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15"/>
      <c r="DT5" s="18"/>
      <c r="DX5" s="20"/>
      <c r="DY5" s="27"/>
      <c r="DZ5" s="33"/>
      <c r="EC5" s="44"/>
    </row>
    <row r="6" spans="1:133" ht="12.75" customHeight="1">
      <c r="A6" s="49"/>
      <c r="B6" s="252"/>
      <c r="C6" s="252"/>
      <c r="D6" s="252"/>
      <c r="E6" s="252"/>
      <c r="F6" s="252"/>
      <c r="G6" s="253"/>
      <c r="H6" s="1"/>
      <c r="I6" s="254"/>
      <c r="J6" s="50"/>
      <c r="K6" s="34" t="s">
        <v>34</v>
      </c>
      <c r="L6" s="52" t="s">
        <v>29</v>
      </c>
      <c r="M6" s="52">
        <v>0.8</v>
      </c>
      <c r="N6" s="52">
        <v>0.8</v>
      </c>
      <c r="O6" s="52">
        <v>0.8</v>
      </c>
      <c r="P6" s="52">
        <v>0.8</v>
      </c>
      <c r="Q6" s="52">
        <v>0.8</v>
      </c>
      <c r="R6" s="53">
        <v>0.8</v>
      </c>
      <c r="S6" s="53"/>
      <c r="T6" s="41" t="s">
        <v>263</v>
      </c>
      <c r="U6" s="43"/>
      <c r="V6" s="268" t="s">
        <v>109</v>
      </c>
      <c r="W6" s="294" t="s">
        <v>13</v>
      </c>
      <c r="X6" s="268" t="s">
        <v>155</v>
      </c>
      <c r="Y6" s="269" t="s">
        <v>111</v>
      </c>
      <c r="Z6" s="265" t="s">
        <v>33</v>
      </c>
      <c r="AA6" s="265" t="s">
        <v>32</v>
      </c>
      <c r="AB6" s="265" t="s">
        <v>35</v>
      </c>
      <c r="AC6" s="265" t="s">
        <v>36</v>
      </c>
      <c r="AD6" s="268" t="s">
        <v>142</v>
      </c>
      <c r="AE6" s="268" t="s">
        <v>118</v>
      </c>
      <c r="AF6" s="104"/>
      <c r="AG6" s="104"/>
      <c r="AH6" s="104"/>
      <c r="AI6" s="48"/>
      <c r="AJ6" s="48"/>
      <c r="AK6" s="48"/>
      <c r="AL6" s="48"/>
      <c r="AM6" s="48"/>
      <c r="AN6" s="48"/>
      <c r="AO6" s="48"/>
      <c r="AP6" s="48"/>
      <c r="AQ6" s="48"/>
      <c r="AR6" s="48"/>
      <c r="AS6" s="48"/>
      <c r="AT6" s="585"/>
      <c r="AU6" s="586"/>
      <c r="AV6" s="586"/>
      <c r="AW6" s="586"/>
      <c r="AX6" s="587"/>
      <c r="AY6" s="585" t="s">
        <v>500</v>
      </c>
      <c r="AZ6" s="587"/>
      <c r="BA6" s="585" t="s">
        <v>501</v>
      </c>
      <c r="BB6" s="587"/>
      <c r="BC6" s="585" t="s">
        <v>502</v>
      </c>
      <c r="BD6" s="587"/>
      <c r="BE6" s="588" t="s">
        <v>111</v>
      </c>
      <c r="BF6" s="588" t="s">
        <v>33</v>
      </c>
      <c r="BG6" s="588" t="s">
        <v>503</v>
      </c>
      <c r="BH6" s="588" t="s">
        <v>504</v>
      </c>
      <c r="BI6" s="588" t="s">
        <v>505</v>
      </c>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18"/>
      <c r="DX6" s="20"/>
      <c r="DY6" s="39"/>
    </row>
    <row r="7" spans="1:133" ht="12.75" customHeight="1">
      <c r="A7" s="54" t="s">
        <v>57</v>
      </c>
      <c r="B7" s="252"/>
      <c r="C7" s="252"/>
      <c r="D7" s="256"/>
      <c r="E7" s="255"/>
      <c r="F7" s="252"/>
      <c r="G7" s="252"/>
      <c r="H7" s="252"/>
      <c r="I7" s="257"/>
      <c r="J7" s="57"/>
      <c r="K7" s="58">
        <v>1</v>
      </c>
      <c r="L7" s="59" t="s">
        <v>31</v>
      </c>
      <c r="M7" s="59">
        <v>1</v>
      </c>
      <c r="N7" s="59">
        <v>1</v>
      </c>
      <c r="O7" s="59">
        <v>1</v>
      </c>
      <c r="P7" s="59">
        <v>1</v>
      </c>
      <c r="Q7" s="59">
        <v>1</v>
      </c>
      <c r="R7" s="60">
        <v>1</v>
      </c>
      <c r="S7" s="60"/>
      <c r="T7" s="343" t="s">
        <v>235</v>
      </c>
      <c r="U7" s="323"/>
      <c r="V7" s="266"/>
      <c r="W7" s="266"/>
      <c r="X7" s="266"/>
      <c r="Y7" s="266"/>
      <c r="Z7" s="266"/>
      <c r="AA7" s="266"/>
      <c r="AB7" s="266"/>
      <c r="AC7" s="267"/>
      <c r="AD7" s="266"/>
      <c r="AE7" s="267"/>
      <c r="AF7" s="48"/>
      <c r="AG7" s="48"/>
      <c r="AH7" s="48"/>
      <c r="AI7" s="48"/>
      <c r="AM7" s="61" t="s">
        <v>506</v>
      </c>
      <c r="AN7" s="62"/>
      <c r="AO7" s="62"/>
      <c r="AP7" s="63"/>
      <c r="AQ7" s="589"/>
      <c r="AR7" s="589"/>
      <c r="AS7" s="48"/>
      <c r="AT7" s="590" t="s">
        <v>235</v>
      </c>
      <c r="AU7" s="591"/>
      <c r="AV7" s="591"/>
      <c r="AW7" s="591"/>
      <c r="AX7" s="591"/>
      <c r="AY7" s="591"/>
      <c r="AZ7" s="591"/>
      <c r="BA7" s="591"/>
      <c r="BB7" s="591"/>
      <c r="BC7" s="591"/>
      <c r="BD7" s="591"/>
      <c r="BE7" s="591"/>
      <c r="BF7" s="591"/>
      <c r="BG7" s="591"/>
      <c r="BH7" s="591"/>
      <c r="BI7" s="592"/>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18"/>
      <c r="DX7" s="20"/>
      <c r="DY7" s="27"/>
      <c r="DZ7" s="33"/>
      <c r="EC7" s="44"/>
    </row>
    <row r="8" spans="1:133" ht="12.75" customHeight="1">
      <c r="A8" s="54"/>
      <c r="B8" s="67" t="s">
        <v>405</v>
      </c>
      <c r="C8" s="285" t="s">
        <v>27</v>
      </c>
      <c r="D8" s="55" t="s">
        <v>406</v>
      </c>
      <c r="E8" s="55"/>
      <c r="F8" s="55"/>
      <c r="G8" s="33"/>
      <c r="H8" s="25"/>
      <c r="I8" s="375"/>
      <c r="J8" s="57"/>
      <c r="K8" s="58">
        <v>1.25</v>
      </c>
      <c r="L8" s="59" t="s">
        <v>33</v>
      </c>
      <c r="M8" s="59">
        <v>1.2</v>
      </c>
      <c r="N8" s="59">
        <v>1.2</v>
      </c>
      <c r="O8" s="59">
        <v>1.1000000000000001</v>
      </c>
      <c r="P8" s="59">
        <v>1</v>
      </c>
      <c r="Q8" s="59">
        <v>1</v>
      </c>
      <c r="R8" s="44">
        <f>IF($C$12&lt;=0.25,1.2,IF(AND($C$12&gt;0.25,$C$12&lt;=0.5),(1.2-1.2)*($C$12-0.25)/(0.5-0.25)+1.2,IF(AND($C$12&gt;0.5,$C$12&lt;=0.75),(1.1-1.2)*($C$12-0.5)/(0.75-0.5)+1.2,IF(AND($C$12&gt;0.75,$C$12&lt;=1),(1-1.1)*($C$12-0.75)/(1-0.75)+1.1,IF(AND($C$12&gt;1,$C$12&lt;=1.25),(1-1)*($C$12-1)/(1.25-1)+1,1)))))</f>
        <v>1.2</v>
      </c>
      <c r="T8" s="357" t="s">
        <v>236</v>
      </c>
      <c r="U8" s="403" t="s">
        <v>125</v>
      </c>
      <c r="V8" s="539">
        <v>5</v>
      </c>
      <c r="W8" s="321">
        <v>2.5</v>
      </c>
      <c r="X8" s="321">
        <v>5</v>
      </c>
      <c r="Y8" s="321" t="s">
        <v>110</v>
      </c>
      <c r="Z8" s="321" t="s">
        <v>110</v>
      </c>
      <c r="AA8" s="321">
        <v>160</v>
      </c>
      <c r="AB8" s="321">
        <v>160</v>
      </c>
      <c r="AC8" s="321">
        <v>100</v>
      </c>
      <c r="AD8" s="321">
        <v>0.02</v>
      </c>
      <c r="AE8" s="321">
        <v>0.75</v>
      </c>
      <c r="AF8" s="324"/>
      <c r="AG8" s="324"/>
      <c r="AH8" s="324"/>
      <c r="AI8" s="48"/>
      <c r="AJ8" s="481"/>
      <c r="AK8" s="479"/>
      <c r="AL8" s="388"/>
      <c r="AM8" s="1377" t="s">
        <v>507</v>
      </c>
      <c r="AN8" s="1378"/>
      <c r="AO8" s="1378"/>
      <c r="AP8" s="1378"/>
      <c r="AQ8" s="1378"/>
      <c r="AR8" s="1378"/>
      <c r="AS8" s="48"/>
      <c r="AT8" s="1385" t="s">
        <v>619</v>
      </c>
      <c r="AU8" s="1386" t="s">
        <v>125</v>
      </c>
      <c r="AV8" s="1386" t="s">
        <v>125</v>
      </c>
      <c r="AW8" s="1386" t="s">
        <v>125</v>
      </c>
      <c r="AX8" s="1387" t="s">
        <v>125</v>
      </c>
      <c r="AY8" s="1383">
        <v>5</v>
      </c>
      <c r="AZ8" s="1384">
        <v>5</v>
      </c>
      <c r="BA8" s="1383">
        <v>2.5</v>
      </c>
      <c r="BB8" s="1384">
        <v>2.5</v>
      </c>
      <c r="BC8" s="1383">
        <v>5</v>
      </c>
      <c r="BD8" s="1384">
        <v>5</v>
      </c>
      <c r="BE8" s="619" t="s">
        <v>110</v>
      </c>
      <c r="BF8" s="619" t="s">
        <v>110</v>
      </c>
      <c r="BG8" s="620">
        <v>160</v>
      </c>
      <c r="BH8" s="620">
        <v>160</v>
      </c>
      <c r="BI8" s="620">
        <v>100</v>
      </c>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18"/>
      <c r="DX8" s="20"/>
      <c r="DY8" s="27"/>
      <c r="DZ8" s="33"/>
      <c r="EC8" s="44"/>
    </row>
    <row r="9" spans="1:133" ht="12.75" customHeight="1">
      <c r="A9" s="54"/>
      <c r="B9" s="68" t="s">
        <v>213</v>
      </c>
      <c r="C9" s="897">
        <f>IF($C$8="I",1,IF($C$8="II",1,IF($C$8="III",1.25,IF($C$8="IV",1.5))))</f>
        <v>1.25</v>
      </c>
      <c r="D9" s="55" t="s">
        <v>407</v>
      </c>
      <c r="E9" s="55"/>
      <c r="F9" s="55"/>
      <c r="G9" s="55"/>
      <c r="H9" s="55"/>
      <c r="I9" s="66" t="s">
        <v>191</v>
      </c>
      <c r="J9" s="57"/>
      <c r="K9" s="58">
        <v>1.5</v>
      </c>
      <c r="L9" s="59" t="s">
        <v>32</v>
      </c>
      <c r="M9" s="59">
        <v>1.6</v>
      </c>
      <c r="N9" s="59">
        <v>1.4</v>
      </c>
      <c r="O9" s="59">
        <v>1.2</v>
      </c>
      <c r="P9" s="59">
        <v>1.1000000000000001</v>
      </c>
      <c r="Q9" s="59">
        <v>1</v>
      </c>
      <c r="R9" s="44">
        <f>IF($C$12&lt;=0.25,1.6,IF(AND($C$12&gt;0.25,$C$12&lt;=0.5),(1.4-1.6)*($C$12-0.25)/(0.5-0.25)+1.6,IF(AND($C$12&gt;0.5,$C$12&lt;=0.75),(1.2-1.4)*($C$12-0.5)/(0.75-0.5)+1.4,IF(AND($C$12&gt;0.75,$C$12&lt;=1),(1.1-1.2)*($C$12-0.75)/(1-0.75)+1.2,IF(AND($C$12&gt;1,$C$12&lt;=1.25),(1-1.1)*($C$12-1)/(1.25-1)+1.1,1)))))</f>
        <v>1.6</v>
      </c>
      <c r="T9" s="325" t="s">
        <v>237</v>
      </c>
      <c r="U9" s="404" t="s">
        <v>126</v>
      </c>
      <c r="V9" s="539">
        <v>4</v>
      </c>
      <c r="W9" s="321">
        <v>2.5</v>
      </c>
      <c r="X9" s="321">
        <v>4</v>
      </c>
      <c r="Y9" s="321" t="s">
        <v>110</v>
      </c>
      <c r="Z9" s="321" t="s">
        <v>110</v>
      </c>
      <c r="AA9" s="321" t="s">
        <v>112</v>
      </c>
      <c r="AB9" s="321" t="s">
        <v>112</v>
      </c>
      <c r="AC9" s="321" t="s">
        <v>112</v>
      </c>
      <c r="AD9" s="321">
        <v>0.02</v>
      </c>
      <c r="AE9" s="321">
        <v>0.75</v>
      </c>
      <c r="AF9" s="324"/>
      <c r="AG9" s="324"/>
      <c r="AH9" s="324"/>
      <c r="AI9" s="48"/>
      <c r="AJ9" s="480"/>
      <c r="AK9" s="485"/>
      <c r="AL9" s="480"/>
      <c r="AM9" s="480"/>
      <c r="AN9" s="485"/>
      <c r="AO9" s="480"/>
      <c r="AP9" s="480"/>
      <c r="AQ9" s="480"/>
      <c r="AR9" s="480"/>
      <c r="AS9" s="48"/>
      <c r="AT9" s="1380" t="s">
        <v>508</v>
      </c>
      <c r="AU9" s="1381" t="s">
        <v>126</v>
      </c>
      <c r="AV9" s="1381" t="s">
        <v>126</v>
      </c>
      <c r="AW9" s="1381" t="s">
        <v>126</v>
      </c>
      <c r="AX9" s="1382" t="s">
        <v>126</v>
      </c>
      <c r="AY9" s="1383">
        <v>4</v>
      </c>
      <c r="AZ9" s="1384">
        <v>4</v>
      </c>
      <c r="BA9" s="1383">
        <v>2.5</v>
      </c>
      <c r="BB9" s="1384">
        <v>2.5</v>
      </c>
      <c r="BC9" s="1383">
        <v>4</v>
      </c>
      <c r="BD9" s="1384">
        <v>4</v>
      </c>
      <c r="BE9" s="621" t="s">
        <v>110</v>
      </c>
      <c r="BF9" s="621" t="s">
        <v>110</v>
      </c>
      <c r="BG9" s="622" t="s">
        <v>112</v>
      </c>
      <c r="BH9" s="622" t="s">
        <v>112</v>
      </c>
      <c r="BI9" s="622" t="s">
        <v>112</v>
      </c>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18"/>
      <c r="DX9" s="20"/>
      <c r="DY9" s="27"/>
      <c r="DZ9" s="33"/>
      <c r="EC9" s="44"/>
    </row>
    <row r="10" spans="1:133" ht="12.75" customHeight="1">
      <c r="A10" s="54"/>
      <c r="B10" s="71" t="s">
        <v>144</v>
      </c>
      <c r="C10" s="2" t="s">
        <v>31</v>
      </c>
      <c r="D10" s="55" t="s">
        <v>408</v>
      </c>
      <c r="E10" s="55"/>
      <c r="F10" s="376"/>
      <c r="G10" s="55"/>
      <c r="H10" s="55"/>
      <c r="I10" s="66" t="s">
        <v>199</v>
      </c>
      <c r="J10" s="57"/>
      <c r="K10" s="69" t="s">
        <v>29</v>
      </c>
      <c r="L10" s="59" t="s">
        <v>35</v>
      </c>
      <c r="M10" s="59">
        <v>2.5</v>
      </c>
      <c r="N10" s="59">
        <v>1.7</v>
      </c>
      <c r="O10" s="59">
        <v>1.2</v>
      </c>
      <c r="P10" s="59">
        <v>0.9</v>
      </c>
      <c r="Q10" s="59">
        <v>0.9</v>
      </c>
      <c r="R10" s="44">
        <f>IF($C$12&lt;=0.25,2.5,IF(AND($C$12&gt;0.25,$C$12&lt;=0.5),(1.7-2.5)*($C$12-0.25)/(0.5-0.25)+2.5,IF(AND($C$12&gt;0.5,$C$12&lt;=0.75),(1.2-1.7)*($C$12-0.5)/(0.75-0.5)+1.7,IF(AND($C$12&gt;0.75,$C$12&lt;=1),(0.9-1.2)*($C$12-0.75)/(1-0.75)+1.2,IF(AND($C$12&gt;1,$C$12&lt;=1.25),0.9,0.9)))))</f>
        <v>2.5</v>
      </c>
      <c r="T10" s="325" t="s">
        <v>238</v>
      </c>
      <c r="U10" s="404" t="s">
        <v>113</v>
      </c>
      <c r="V10" s="321">
        <v>2</v>
      </c>
      <c r="W10" s="321">
        <v>2.5</v>
      </c>
      <c r="X10" s="321">
        <v>2</v>
      </c>
      <c r="Y10" s="321" t="s">
        <v>110</v>
      </c>
      <c r="Z10" s="321" t="s">
        <v>112</v>
      </c>
      <c r="AA10" s="321" t="s">
        <v>112</v>
      </c>
      <c r="AB10" s="321" t="s">
        <v>112</v>
      </c>
      <c r="AC10" s="321" t="s">
        <v>112</v>
      </c>
      <c r="AD10" s="321">
        <v>0.02</v>
      </c>
      <c r="AE10" s="321">
        <v>0.75</v>
      </c>
      <c r="AF10" s="324"/>
      <c r="AG10" s="324"/>
      <c r="AH10" s="324"/>
      <c r="AI10" s="48"/>
      <c r="AJ10" s="480"/>
      <c r="AK10" s="480"/>
      <c r="AL10" s="480"/>
      <c r="AM10" s="480"/>
      <c r="AN10" s="480"/>
      <c r="AO10" s="480"/>
      <c r="AP10" s="480"/>
      <c r="AQ10" s="480"/>
      <c r="AR10" s="480"/>
      <c r="AS10" s="48"/>
      <c r="AT10" s="1380" t="s">
        <v>509</v>
      </c>
      <c r="AU10" s="1381" t="s">
        <v>113</v>
      </c>
      <c r="AV10" s="1381" t="s">
        <v>113</v>
      </c>
      <c r="AW10" s="1381" t="s">
        <v>113</v>
      </c>
      <c r="AX10" s="1382" t="s">
        <v>113</v>
      </c>
      <c r="AY10" s="1383">
        <v>2</v>
      </c>
      <c r="AZ10" s="1384">
        <v>2</v>
      </c>
      <c r="BA10" s="1383">
        <v>2.5</v>
      </c>
      <c r="BB10" s="1384">
        <v>2.5</v>
      </c>
      <c r="BC10" s="1383">
        <v>2</v>
      </c>
      <c r="BD10" s="1384">
        <v>2</v>
      </c>
      <c r="BE10" s="621" t="s">
        <v>110</v>
      </c>
      <c r="BF10" s="622" t="s">
        <v>112</v>
      </c>
      <c r="BG10" s="622" t="s">
        <v>112</v>
      </c>
      <c r="BH10" s="622" t="s">
        <v>112</v>
      </c>
      <c r="BI10" s="622" t="s">
        <v>112</v>
      </c>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18"/>
      <c r="DX10" s="20"/>
      <c r="DY10" s="27"/>
      <c r="DZ10" s="33"/>
      <c r="EC10" s="44"/>
    </row>
    <row r="11" spans="1:133" ht="12.75" customHeight="1">
      <c r="A11" s="75"/>
      <c r="B11" s="64" t="s">
        <v>42</v>
      </c>
      <c r="C11" s="284">
        <v>40507</v>
      </c>
      <c r="D11" s="55" t="str">
        <f>IF($C$11="","(not required)","")</f>
        <v/>
      </c>
      <c r="E11" s="105"/>
      <c r="F11" s="376"/>
      <c r="G11" s="55"/>
      <c r="H11" s="55"/>
      <c r="I11" s="66" t="s">
        <v>198</v>
      </c>
      <c r="J11" s="57"/>
      <c r="K11" s="69" t="s">
        <v>31</v>
      </c>
      <c r="L11" s="74" t="s">
        <v>36</v>
      </c>
      <c r="M11" s="74" t="s">
        <v>38</v>
      </c>
      <c r="N11" s="74" t="s">
        <v>38</v>
      </c>
      <c r="O11" s="74" t="s">
        <v>38</v>
      </c>
      <c r="P11" s="74" t="s">
        <v>38</v>
      </c>
      <c r="Q11" s="74" t="s">
        <v>38</v>
      </c>
      <c r="R11" s="27" t="s">
        <v>38</v>
      </c>
      <c r="T11" s="325" t="s">
        <v>239</v>
      </c>
      <c r="U11" s="404" t="s">
        <v>114</v>
      </c>
      <c r="V11" s="321">
        <v>1.5</v>
      </c>
      <c r="W11" s="321">
        <v>2.5</v>
      </c>
      <c r="X11" s="321">
        <v>1.5</v>
      </c>
      <c r="Y11" s="321" t="s">
        <v>110</v>
      </c>
      <c r="Z11" s="321" t="s">
        <v>112</v>
      </c>
      <c r="AA11" s="321" t="s">
        <v>112</v>
      </c>
      <c r="AB11" s="321" t="s">
        <v>112</v>
      </c>
      <c r="AC11" s="321" t="s">
        <v>112</v>
      </c>
      <c r="AD11" s="321">
        <v>0.02</v>
      </c>
      <c r="AE11" s="321">
        <v>0.75</v>
      </c>
      <c r="AF11" s="324"/>
      <c r="AG11" s="324"/>
      <c r="AH11" s="324"/>
      <c r="AI11" s="48"/>
      <c r="AJ11" s="486"/>
      <c r="AK11" s="486"/>
      <c r="AL11" s="486"/>
      <c r="AM11" s="486"/>
      <c r="AN11" s="486"/>
      <c r="AO11" s="486"/>
      <c r="AP11" s="486"/>
      <c r="AQ11" s="486"/>
      <c r="AR11" s="486"/>
      <c r="AS11" s="48"/>
      <c r="AT11" s="1380" t="s">
        <v>510</v>
      </c>
      <c r="AU11" s="1381" t="s">
        <v>114</v>
      </c>
      <c r="AV11" s="1381" t="s">
        <v>114</v>
      </c>
      <c r="AW11" s="1381" t="s">
        <v>114</v>
      </c>
      <c r="AX11" s="1382" t="s">
        <v>114</v>
      </c>
      <c r="AY11" s="1383">
        <v>1.5</v>
      </c>
      <c r="AZ11" s="1384">
        <v>1.5</v>
      </c>
      <c r="BA11" s="1383">
        <v>2.5</v>
      </c>
      <c r="BB11" s="1384">
        <v>2.5</v>
      </c>
      <c r="BC11" s="1383">
        <v>1.5</v>
      </c>
      <c r="BD11" s="1384">
        <v>1.5</v>
      </c>
      <c r="BE11" s="621" t="s">
        <v>110</v>
      </c>
      <c r="BF11" s="622" t="s">
        <v>112</v>
      </c>
      <c r="BG11" s="622" t="s">
        <v>112</v>
      </c>
      <c r="BH11" s="622" t="s">
        <v>112</v>
      </c>
      <c r="BI11" s="622" t="s">
        <v>112</v>
      </c>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18"/>
      <c r="DX11" s="20"/>
      <c r="DY11" s="27"/>
      <c r="DZ11" s="33"/>
      <c r="EC11" s="44"/>
    </row>
    <row r="12" spans="1:133" ht="12.75" customHeight="1">
      <c r="A12" s="82"/>
      <c r="B12" s="71" t="s">
        <v>151</v>
      </c>
      <c r="C12" s="262">
        <v>0.188</v>
      </c>
      <c r="D12" s="81" t="s">
        <v>411</v>
      </c>
      <c r="E12" s="64"/>
      <c r="F12" s="72"/>
      <c r="G12" s="55"/>
      <c r="H12" s="55"/>
      <c r="I12" s="66" t="s">
        <v>197</v>
      </c>
      <c r="J12" s="57"/>
      <c r="K12" s="69" t="s">
        <v>33</v>
      </c>
      <c r="L12" s="77"/>
      <c r="M12" s="77"/>
      <c r="N12" s="77"/>
      <c r="O12" s="77"/>
      <c r="P12" s="27"/>
      <c r="Q12" s="77"/>
      <c r="T12" s="325" t="s">
        <v>240</v>
      </c>
      <c r="U12" s="404" t="s">
        <v>252</v>
      </c>
      <c r="V12" s="321">
        <v>4</v>
      </c>
      <c r="W12" s="321">
        <v>2.5</v>
      </c>
      <c r="X12" s="321">
        <v>4</v>
      </c>
      <c r="Y12" s="321" t="s">
        <v>110</v>
      </c>
      <c r="Z12" s="321" t="s">
        <v>110</v>
      </c>
      <c r="AA12" s="321">
        <v>40</v>
      </c>
      <c r="AB12" s="321">
        <v>40</v>
      </c>
      <c r="AC12" s="321">
        <v>40</v>
      </c>
      <c r="AD12" s="321">
        <v>0.02</v>
      </c>
      <c r="AE12" s="321">
        <v>0.75</v>
      </c>
      <c r="AF12" s="324"/>
      <c r="AG12" s="324"/>
      <c r="AH12" s="324"/>
      <c r="AI12" s="15"/>
      <c r="AJ12" s="480"/>
      <c r="AK12" s="480"/>
      <c r="AL12" s="480"/>
      <c r="AM12" s="480"/>
      <c r="AN12" s="480"/>
      <c r="AO12" s="480"/>
      <c r="AP12" s="480"/>
      <c r="AQ12" s="480"/>
      <c r="AR12" s="480"/>
      <c r="AS12" s="15"/>
      <c r="AT12" s="1380" t="s">
        <v>511</v>
      </c>
      <c r="AU12" s="1381" t="s">
        <v>252</v>
      </c>
      <c r="AV12" s="1381" t="s">
        <v>252</v>
      </c>
      <c r="AW12" s="1381" t="s">
        <v>252</v>
      </c>
      <c r="AX12" s="1382" t="s">
        <v>252</v>
      </c>
      <c r="AY12" s="1383">
        <v>4</v>
      </c>
      <c r="AZ12" s="1384">
        <v>4</v>
      </c>
      <c r="BA12" s="1383">
        <v>2.5</v>
      </c>
      <c r="BB12" s="1384">
        <v>2.5</v>
      </c>
      <c r="BC12" s="1383">
        <v>4</v>
      </c>
      <c r="BD12" s="1384">
        <v>4</v>
      </c>
      <c r="BE12" s="621" t="s">
        <v>110</v>
      </c>
      <c r="BF12" s="621" t="s">
        <v>110</v>
      </c>
      <c r="BG12" s="623">
        <v>40</v>
      </c>
      <c r="BH12" s="623">
        <v>40</v>
      </c>
      <c r="BI12" s="623">
        <v>40</v>
      </c>
      <c r="BJ12" s="78"/>
      <c r="BK12" s="78"/>
      <c r="BL12" s="78"/>
      <c r="BM12" s="78"/>
      <c r="BN12" s="78"/>
      <c r="BO12" s="78"/>
      <c r="BP12" s="78"/>
      <c r="BQ12" s="78"/>
      <c r="BR12" s="78"/>
      <c r="BS12" s="78"/>
      <c r="BT12" s="78"/>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8"/>
      <c r="DX12" s="20"/>
      <c r="DY12" s="27"/>
      <c r="DZ12" s="33"/>
      <c r="EC12" s="44"/>
    </row>
    <row r="13" spans="1:133" ht="12.75" customHeight="1">
      <c r="A13" s="85"/>
      <c r="B13" s="71" t="s">
        <v>152</v>
      </c>
      <c r="C13" s="262">
        <v>9.0999999999999998E-2</v>
      </c>
      <c r="D13" s="81" t="s">
        <v>411</v>
      </c>
      <c r="E13" s="64"/>
      <c r="F13" s="72"/>
      <c r="G13" s="55"/>
      <c r="H13" s="55"/>
      <c r="I13" s="66" t="s">
        <v>196</v>
      </c>
      <c r="J13" s="57"/>
      <c r="K13" s="69" t="s">
        <v>32</v>
      </c>
      <c r="L13" s="35" t="s">
        <v>457</v>
      </c>
      <c r="M13" s="36"/>
      <c r="N13" s="36"/>
      <c r="O13" s="36"/>
      <c r="P13" s="36"/>
      <c r="Q13" s="37"/>
      <c r="R13" s="38"/>
      <c r="T13" s="325" t="s">
        <v>241</v>
      </c>
      <c r="U13" s="404" t="s">
        <v>253</v>
      </c>
      <c r="V13" s="321">
        <v>3</v>
      </c>
      <c r="W13" s="321">
        <v>2.5</v>
      </c>
      <c r="X13" s="321">
        <v>3</v>
      </c>
      <c r="Y13" s="321" t="s">
        <v>110</v>
      </c>
      <c r="Z13" s="321" t="s">
        <v>112</v>
      </c>
      <c r="AA13" s="321" t="s">
        <v>112</v>
      </c>
      <c r="AB13" s="321" t="s">
        <v>112</v>
      </c>
      <c r="AC13" s="321" t="s">
        <v>112</v>
      </c>
      <c r="AD13" s="321">
        <v>0.02</v>
      </c>
      <c r="AE13" s="321">
        <v>0.75</v>
      </c>
      <c r="AF13" s="324"/>
      <c r="AG13" s="324"/>
      <c r="AH13" s="324"/>
      <c r="AI13" s="15"/>
      <c r="AJ13" s="480"/>
      <c r="AK13" s="480"/>
      <c r="AL13" s="480"/>
      <c r="AM13" s="480"/>
      <c r="AN13" s="480"/>
      <c r="AO13" s="480"/>
      <c r="AP13" s="480"/>
      <c r="AQ13" s="480"/>
      <c r="AR13" s="480"/>
      <c r="AS13" s="15"/>
      <c r="AT13" s="1380" t="s">
        <v>512</v>
      </c>
      <c r="AU13" s="1381" t="s">
        <v>253</v>
      </c>
      <c r="AV13" s="1381" t="s">
        <v>253</v>
      </c>
      <c r="AW13" s="1381" t="s">
        <v>253</v>
      </c>
      <c r="AX13" s="1382" t="s">
        <v>253</v>
      </c>
      <c r="AY13" s="1383">
        <v>3</v>
      </c>
      <c r="AZ13" s="1384">
        <v>3</v>
      </c>
      <c r="BA13" s="1383">
        <v>2.5</v>
      </c>
      <c r="BB13" s="1384">
        <v>2.5</v>
      </c>
      <c r="BC13" s="1383">
        <v>3</v>
      </c>
      <c r="BD13" s="1384">
        <v>3</v>
      </c>
      <c r="BE13" s="621" t="s">
        <v>110</v>
      </c>
      <c r="BF13" s="622" t="s">
        <v>112</v>
      </c>
      <c r="BG13" s="622" t="s">
        <v>112</v>
      </c>
      <c r="BH13" s="622" t="s">
        <v>112</v>
      </c>
      <c r="BI13" s="622" t="s">
        <v>112</v>
      </c>
      <c r="BJ13" s="78"/>
      <c r="BK13" s="78"/>
      <c r="BL13" s="78"/>
      <c r="BM13" s="78"/>
      <c r="BN13" s="78"/>
      <c r="BO13" s="78"/>
      <c r="BP13" s="78"/>
      <c r="BQ13" s="78"/>
      <c r="BR13" s="78"/>
      <c r="BS13" s="78"/>
      <c r="BT13" s="78"/>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8"/>
      <c r="DX13" s="20"/>
      <c r="DY13" s="27"/>
      <c r="DZ13" s="33"/>
      <c r="EC13" s="44"/>
    </row>
    <row r="14" spans="1:133" ht="12.75" customHeight="1">
      <c r="A14" s="80"/>
      <c r="B14" s="71" t="s">
        <v>108</v>
      </c>
      <c r="C14" s="262">
        <v>12</v>
      </c>
      <c r="D14" s="386" t="s">
        <v>412</v>
      </c>
      <c r="E14" s="55"/>
      <c r="F14" s="55"/>
      <c r="G14" s="33" t="s">
        <v>25</v>
      </c>
      <c r="H14" s="55"/>
      <c r="I14" s="66" t="s">
        <v>195</v>
      </c>
      <c r="J14" s="57"/>
      <c r="K14" s="69" t="s">
        <v>35</v>
      </c>
      <c r="L14" s="41" t="s">
        <v>146</v>
      </c>
      <c r="M14" s="42"/>
      <c r="N14" s="42"/>
      <c r="O14" s="42"/>
      <c r="P14" s="42"/>
      <c r="Q14" s="43"/>
      <c r="R14" s="38"/>
      <c r="T14" s="325" t="s">
        <v>242</v>
      </c>
      <c r="U14" s="404" t="s">
        <v>129</v>
      </c>
      <c r="V14" s="321">
        <v>5</v>
      </c>
      <c r="W14" s="321">
        <v>2.5</v>
      </c>
      <c r="X14" s="321">
        <v>3.5</v>
      </c>
      <c r="Y14" s="321" t="s">
        <v>110</v>
      </c>
      <c r="Z14" s="321" t="s">
        <v>110</v>
      </c>
      <c r="AA14" s="321">
        <v>160</v>
      </c>
      <c r="AB14" s="321">
        <v>160</v>
      </c>
      <c r="AC14" s="321">
        <v>100</v>
      </c>
      <c r="AD14" s="321">
        <v>0.02</v>
      </c>
      <c r="AE14" s="321">
        <v>0.75</v>
      </c>
      <c r="AF14" s="324"/>
      <c r="AG14" s="324"/>
      <c r="AH14" s="324"/>
      <c r="AI14" s="15"/>
      <c r="AJ14" s="480"/>
      <c r="AK14" s="480"/>
      <c r="AL14" s="485"/>
      <c r="AM14" s="480"/>
      <c r="AN14" s="480"/>
      <c r="AO14" s="485"/>
      <c r="AP14" s="485"/>
      <c r="AQ14" s="485"/>
      <c r="AR14" s="485"/>
      <c r="AS14" s="84"/>
      <c r="AT14" s="1380" t="s">
        <v>513</v>
      </c>
      <c r="AU14" s="1381" t="s">
        <v>129</v>
      </c>
      <c r="AV14" s="1381" t="s">
        <v>129</v>
      </c>
      <c r="AW14" s="1381" t="s">
        <v>129</v>
      </c>
      <c r="AX14" s="1382" t="s">
        <v>129</v>
      </c>
      <c r="AY14" s="1383">
        <v>5</v>
      </c>
      <c r="AZ14" s="1384">
        <v>5</v>
      </c>
      <c r="BA14" s="1383">
        <v>2.5</v>
      </c>
      <c r="BB14" s="1384">
        <v>2.5</v>
      </c>
      <c r="BC14" s="1383">
        <v>3.5</v>
      </c>
      <c r="BD14" s="1384">
        <v>3.5</v>
      </c>
      <c r="BE14" s="621" t="s">
        <v>110</v>
      </c>
      <c r="BF14" s="621" t="s">
        <v>110</v>
      </c>
      <c r="BG14" s="623">
        <v>160</v>
      </c>
      <c r="BH14" s="623">
        <v>160</v>
      </c>
      <c r="BI14" s="623">
        <v>100</v>
      </c>
      <c r="BJ14" s="16"/>
      <c r="BK14" s="16"/>
      <c r="BL14" s="16"/>
      <c r="BM14" s="16"/>
      <c r="BN14" s="16"/>
      <c r="BO14" s="16"/>
      <c r="BP14" s="16"/>
      <c r="BQ14" s="16"/>
      <c r="BR14" s="16"/>
      <c r="BS14" s="16"/>
      <c r="BT14" s="16"/>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16"/>
      <c r="DT14" s="18"/>
      <c r="DX14" s="20"/>
      <c r="DY14" s="27"/>
      <c r="DZ14" s="33"/>
      <c r="EC14" s="44"/>
    </row>
    <row r="15" spans="1:133" ht="12.75" customHeight="1">
      <c r="A15" s="86"/>
      <c r="B15" s="67" t="s">
        <v>60</v>
      </c>
      <c r="C15" s="262">
        <v>75</v>
      </c>
      <c r="D15" s="76" t="s">
        <v>54</v>
      </c>
      <c r="E15" s="64"/>
      <c r="F15" s="72"/>
      <c r="G15" s="83"/>
      <c r="H15" s="55"/>
      <c r="I15" s="66" t="s">
        <v>194</v>
      </c>
      <c r="J15" s="57"/>
      <c r="K15" s="69" t="s">
        <v>36</v>
      </c>
      <c r="L15" s="45" t="s">
        <v>37</v>
      </c>
      <c r="M15" s="46" t="s">
        <v>64</v>
      </c>
      <c r="N15" s="46" t="s">
        <v>65</v>
      </c>
      <c r="O15" s="46" t="s">
        <v>66</v>
      </c>
      <c r="P15" s="46" t="s">
        <v>67</v>
      </c>
      <c r="Q15" s="46" t="s">
        <v>68</v>
      </c>
      <c r="R15" s="25" t="s">
        <v>56</v>
      </c>
      <c r="T15" s="325" t="s">
        <v>243</v>
      </c>
      <c r="U15" s="404" t="s">
        <v>130</v>
      </c>
      <c r="V15" s="321">
        <v>3.5</v>
      </c>
      <c r="W15" s="321">
        <v>2.5</v>
      </c>
      <c r="X15" s="321">
        <v>2.25</v>
      </c>
      <c r="Y15" s="321" t="s">
        <v>110</v>
      </c>
      <c r="Z15" s="321" t="s">
        <v>110</v>
      </c>
      <c r="AA15" s="321" t="s">
        <v>112</v>
      </c>
      <c r="AB15" s="321" t="s">
        <v>112</v>
      </c>
      <c r="AC15" s="321" t="s">
        <v>112</v>
      </c>
      <c r="AD15" s="321">
        <v>0.02</v>
      </c>
      <c r="AE15" s="321">
        <v>0.75</v>
      </c>
      <c r="AF15" s="324"/>
      <c r="AG15" s="324"/>
      <c r="AH15" s="324"/>
      <c r="AI15" s="15"/>
      <c r="AJ15" s="236"/>
      <c r="AK15" s="236"/>
      <c r="AL15" s="484"/>
      <c r="AM15" s="236"/>
      <c r="AN15" s="236"/>
      <c r="AO15" s="484"/>
      <c r="AP15" s="484"/>
      <c r="AQ15" s="484"/>
      <c r="AR15" s="484"/>
      <c r="AS15" s="15"/>
      <c r="AT15" s="1380" t="s">
        <v>514</v>
      </c>
      <c r="AU15" s="1381" t="s">
        <v>130</v>
      </c>
      <c r="AV15" s="1381" t="s">
        <v>130</v>
      </c>
      <c r="AW15" s="1381" t="s">
        <v>130</v>
      </c>
      <c r="AX15" s="1382" t="s">
        <v>130</v>
      </c>
      <c r="AY15" s="1383">
        <v>3.5</v>
      </c>
      <c r="AZ15" s="1384">
        <v>3.5</v>
      </c>
      <c r="BA15" s="1383">
        <v>2.5</v>
      </c>
      <c r="BB15" s="1384">
        <v>2.5</v>
      </c>
      <c r="BC15" s="1383">
        <v>2.25</v>
      </c>
      <c r="BD15" s="1384">
        <v>2.25</v>
      </c>
      <c r="BE15" s="621" t="s">
        <v>110</v>
      </c>
      <c r="BF15" s="621" t="s">
        <v>110</v>
      </c>
      <c r="BG15" s="622" t="s">
        <v>112</v>
      </c>
      <c r="BH15" s="622" t="s">
        <v>112</v>
      </c>
      <c r="BI15" s="622" t="s">
        <v>112</v>
      </c>
      <c r="BJ15" s="16"/>
      <c r="BK15" s="16"/>
      <c r="BL15" s="16"/>
      <c r="BM15" s="16"/>
      <c r="BN15" s="16"/>
      <c r="BO15" s="16"/>
      <c r="BP15" s="16"/>
      <c r="BQ15" s="16"/>
      <c r="BR15" s="16"/>
      <c r="BS15" s="16"/>
      <c r="BT15" s="16"/>
      <c r="BU15" s="16"/>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8"/>
      <c r="DX15" s="20"/>
      <c r="DY15" s="27"/>
      <c r="DZ15" s="33"/>
      <c r="EC15" s="44"/>
    </row>
    <row r="16" spans="1:133" ht="12.75" customHeight="1">
      <c r="A16" s="80"/>
      <c r="B16" s="67" t="s">
        <v>375</v>
      </c>
      <c r="C16" s="489">
        <v>0</v>
      </c>
      <c r="D16" s="76" t="s">
        <v>374</v>
      </c>
      <c r="E16" s="55"/>
      <c r="F16" s="55"/>
      <c r="G16" s="55"/>
      <c r="H16" s="55"/>
      <c r="I16" s="66" t="s">
        <v>193</v>
      </c>
      <c r="J16" s="57"/>
      <c r="K16" s="27">
        <v>1</v>
      </c>
      <c r="L16" s="52" t="s">
        <v>29</v>
      </c>
      <c r="M16" s="92">
        <v>0.8</v>
      </c>
      <c r="N16" s="92">
        <v>0.8</v>
      </c>
      <c r="O16" s="92">
        <v>0.8</v>
      </c>
      <c r="P16" s="92">
        <v>0.8</v>
      </c>
      <c r="Q16" s="92">
        <v>0.8</v>
      </c>
      <c r="R16" s="60">
        <v>0.8</v>
      </c>
      <c r="T16" s="325" t="s">
        <v>244</v>
      </c>
      <c r="U16" s="404" t="s">
        <v>131</v>
      </c>
      <c r="V16" s="321">
        <v>2</v>
      </c>
      <c r="W16" s="321">
        <v>2.5</v>
      </c>
      <c r="X16" s="321">
        <v>1.75</v>
      </c>
      <c r="Y16" s="321" t="s">
        <v>110</v>
      </c>
      <c r="Z16" s="321">
        <v>160</v>
      </c>
      <c r="AA16" s="321" t="s">
        <v>112</v>
      </c>
      <c r="AB16" s="321" t="s">
        <v>112</v>
      </c>
      <c r="AC16" s="321" t="s">
        <v>112</v>
      </c>
      <c r="AD16" s="321">
        <v>0.02</v>
      </c>
      <c r="AE16" s="321">
        <v>0.75</v>
      </c>
      <c r="AF16" s="324"/>
      <c r="AG16" s="324"/>
      <c r="AH16" s="324"/>
      <c r="AI16" s="15"/>
      <c r="AJ16" s="236"/>
      <c r="AK16" s="236"/>
      <c r="AL16" s="484"/>
      <c r="AM16" s="236"/>
      <c r="AN16" s="236"/>
      <c r="AO16" s="484"/>
      <c r="AP16" s="484"/>
      <c r="AQ16" s="484"/>
      <c r="AR16" s="484"/>
      <c r="AS16" s="15"/>
      <c r="AT16" s="1380" t="s">
        <v>515</v>
      </c>
      <c r="AU16" s="1381" t="s">
        <v>131</v>
      </c>
      <c r="AV16" s="1381" t="s">
        <v>131</v>
      </c>
      <c r="AW16" s="1381" t="s">
        <v>131</v>
      </c>
      <c r="AX16" s="1382" t="s">
        <v>131</v>
      </c>
      <c r="AY16" s="1383">
        <v>2</v>
      </c>
      <c r="AZ16" s="1384">
        <v>2</v>
      </c>
      <c r="BA16" s="1383">
        <v>2.5</v>
      </c>
      <c r="BB16" s="1384">
        <v>2.5</v>
      </c>
      <c r="BC16" s="1383">
        <v>1.75</v>
      </c>
      <c r="BD16" s="1384">
        <v>1.75</v>
      </c>
      <c r="BE16" s="621" t="s">
        <v>110</v>
      </c>
      <c r="BF16" s="623">
        <v>160</v>
      </c>
      <c r="BG16" s="622" t="s">
        <v>112</v>
      </c>
      <c r="BH16" s="622" t="s">
        <v>112</v>
      </c>
      <c r="BI16" s="622" t="s">
        <v>112</v>
      </c>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8"/>
      <c r="DX16" s="20"/>
      <c r="DY16" s="27"/>
      <c r="DZ16" s="33"/>
      <c r="EC16" s="44"/>
    </row>
    <row r="17" spans="1:133" ht="12.75" customHeight="1">
      <c r="A17" s="80"/>
      <c r="B17" s="234" t="s">
        <v>212</v>
      </c>
      <c r="C17" s="292" t="s">
        <v>298</v>
      </c>
      <c r="D17" s="1373" t="str">
        <f>VLOOKUP($C$17,$T$8:$AE$99,2, FALSE)&amp;" (ASCE 7-10 Table 12.2-1)"</f>
        <v>Steel ordinary moment frames (ASCE 7-10 Table 12.2-1)</v>
      </c>
      <c r="E17" s="1374"/>
      <c r="F17" s="1374"/>
      <c r="G17" s="55"/>
      <c r="H17" s="55"/>
      <c r="I17" s="66" t="s">
        <v>192</v>
      </c>
      <c r="J17" s="57"/>
      <c r="K17" s="27">
        <v>2</v>
      </c>
      <c r="L17" s="59" t="s">
        <v>31</v>
      </c>
      <c r="M17" s="93">
        <v>1</v>
      </c>
      <c r="N17" s="93">
        <v>1</v>
      </c>
      <c r="O17" s="93">
        <v>1</v>
      </c>
      <c r="P17" s="93">
        <v>1</v>
      </c>
      <c r="Q17" s="93">
        <v>1</v>
      </c>
      <c r="R17" s="60">
        <v>1</v>
      </c>
      <c r="T17" s="325" t="s">
        <v>245</v>
      </c>
      <c r="U17" s="404" t="s">
        <v>115</v>
      </c>
      <c r="V17" s="539">
        <v>2</v>
      </c>
      <c r="W17" s="321">
        <v>2.5</v>
      </c>
      <c r="X17" s="321">
        <v>1.75</v>
      </c>
      <c r="Y17" s="321" t="s">
        <v>110</v>
      </c>
      <c r="Z17" s="321" t="s">
        <v>112</v>
      </c>
      <c r="AA17" s="321" t="s">
        <v>112</v>
      </c>
      <c r="AB17" s="321" t="s">
        <v>112</v>
      </c>
      <c r="AC17" s="321" t="s">
        <v>112</v>
      </c>
      <c r="AD17" s="321">
        <v>0.02</v>
      </c>
      <c r="AE17" s="321">
        <v>0.75</v>
      </c>
      <c r="AF17" s="324"/>
      <c r="AG17" s="324"/>
      <c r="AH17" s="324"/>
      <c r="AI17" s="15"/>
      <c r="AJ17" s="61"/>
      <c r="AK17" s="62"/>
      <c r="AL17" s="62"/>
      <c r="AS17" s="15"/>
      <c r="AT17" s="1380" t="s">
        <v>516</v>
      </c>
      <c r="AU17" s="1381" t="s">
        <v>115</v>
      </c>
      <c r="AV17" s="1381" t="s">
        <v>115</v>
      </c>
      <c r="AW17" s="1381" t="s">
        <v>115</v>
      </c>
      <c r="AX17" s="1382" t="s">
        <v>115</v>
      </c>
      <c r="AY17" s="1383">
        <v>2</v>
      </c>
      <c r="AZ17" s="1384">
        <v>2</v>
      </c>
      <c r="BA17" s="1383">
        <v>2.5</v>
      </c>
      <c r="BB17" s="1384">
        <v>2.5</v>
      </c>
      <c r="BC17" s="1383">
        <v>1.75</v>
      </c>
      <c r="BD17" s="1384">
        <v>1.75</v>
      </c>
      <c r="BE17" s="621" t="s">
        <v>110</v>
      </c>
      <c r="BF17" s="622" t="s">
        <v>112</v>
      </c>
      <c r="BG17" s="622" t="s">
        <v>112</v>
      </c>
      <c r="BH17" s="622" t="s">
        <v>112</v>
      </c>
      <c r="BI17" s="622" t="s">
        <v>112</v>
      </c>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8"/>
      <c r="DX17" s="20"/>
      <c r="DY17" s="27"/>
      <c r="DZ17" s="33"/>
      <c r="EC17" s="44"/>
    </row>
    <row r="18" spans="1:133" ht="12.75" customHeight="1">
      <c r="A18" s="319"/>
      <c r="B18" s="38"/>
      <c r="C18" s="38"/>
      <c r="D18" s="1374"/>
      <c r="E18" s="1374"/>
      <c r="F18" s="1374"/>
      <c r="G18" s="20"/>
      <c r="H18" s="83"/>
      <c r="I18" s="66" t="s">
        <v>230</v>
      </c>
      <c r="J18" s="57"/>
      <c r="K18" s="27">
        <v>3</v>
      </c>
      <c r="L18" s="59" t="s">
        <v>33</v>
      </c>
      <c r="M18" s="93">
        <v>1.7</v>
      </c>
      <c r="N18" s="93">
        <v>1.6</v>
      </c>
      <c r="O18" s="93">
        <v>1.5</v>
      </c>
      <c r="P18" s="93">
        <v>1.4</v>
      </c>
      <c r="Q18" s="93">
        <v>1.3</v>
      </c>
      <c r="R18" s="44">
        <f>IF($C$13&lt;=0.1,1.7,IF(AND($C$13&gt;0.1,$C$13&lt;=0.2),(1.6-1.7)*($C$13-0.1)/(0.2-0.1)+1.7,IF(AND($C$13&gt;0.2,$C$13&lt;=0.3),(1.5-1.6)*($C$13-0.2)/(0.3-0.2)+1.6,IF(AND($C$13&gt;0.3,$C$13&lt;=0.4),(1.4-1.5)*($C$13-0.3)/(0.4-0.3)+1.5,IF(AND($C$13&gt;0.4,$C$13&lt;=0.5),(1.3-1.4)*($C$13-0.4)/(0.5-0.4)+1.4,1.3)))))</f>
        <v>1.7</v>
      </c>
      <c r="T18" s="325" t="s">
        <v>246</v>
      </c>
      <c r="U18" s="404" t="s">
        <v>116</v>
      </c>
      <c r="V18" s="321">
        <v>1.5</v>
      </c>
      <c r="W18" s="321">
        <v>2.5</v>
      </c>
      <c r="X18" s="321">
        <v>1.25</v>
      </c>
      <c r="Y18" s="321" t="s">
        <v>110</v>
      </c>
      <c r="Z18" s="321" t="s">
        <v>112</v>
      </c>
      <c r="AA18" s="321" t="s">
        <v>112</v>
      </c>
      <c r="AB18" s="321" t="s">
        <v>112</v>
      </c>
      <c r="AC18" s="321" t="s">
        <v>112</v>
      </c>
      <c r="AD18" s="321">
        <v>0.02</v>
      </c>
      <c r="AE18" s="321">
        <v>0.75</v>
      </c>
      <c r="AF18" s="324"/>
      <c r="AG18" s="324"/>
      <c r="AH18" s="324"/>
      <c r="AI18" s="15"/>
      <c r="AJ18" s="1375"/>
      <c r="AK18" s="1376"/>
      <c r="AL18" s="1376"/>
      <c r="AM18" s="1376"/>
      <c r="AN18" s="1376"/>
      <c r="AO18" s="1376"/>
      <c r="AS18" s="15"/>
      <c r="AT18" s="1380" t="s">
        <v>517</v>
      </c>
      <c r="AU18" s="1381" t="s">
        <v>116</v>
      </c>
      <c r="AV18" s="1381" t="s">
        <v>116</v>
      </c>
      <c r="AW18" s="1381" t="s">
        <v>116</v>
      </c>
      <c r="AX18" s="1382" t="s">
        <v>116</v>
      </c>
      <c r="AY18" s="1383">
        <v>1.5</v>
      </c>
      <c r="AZ18" s="1384">
        <v>1.5</v>
      </c>
      <c r="BA18" s="1383">
        <v>2.5</v>
      </c>
      <c r="BB18" s="1384">
        <v>2.5</v>
      </c>
      <c r="BC18" s="1383">
        <v>1.25</v>
      </c>
      <c r="BD18" s="1384">
        <v>1.25</v>
      </c>
      <c r="BE18" s="621" t="s">
        <v>110</v>
      </c>
      <c r="BF18" s="622" t="s">
        <v>112</v>
      </c>
      <c r="BG18" s="622" t="s">
        <v>112</v>
      </c>
      <c r="BH18" s="622" t="s">
        <v>112</v>
      </c>
      <c r="BI18" s="622" t="s">
        <v>112</v>
      </c>
      <c r="BJ18" s="15"/>
      <c r="BK18" s="15"/>
      <c r="BL18" s="15"/>
      <c r="BM18" s="15"/>
      <c r="BN18" s="15"/>
      <c r="BO18" s="15"/>
      <c r="BP18" s="15"/>
      <c r="BQ18" s="15"/>
      <c r="BR18" s="15"/>
      <c r="BS18" s="15"/>
      <c r="BT18" s="15"/>
      <c r="BU18" s="16"/>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7"/>
      <c r="DU18" s="16"/>
      <c r="DV18" s="16"/>
      <c r="DW18" s="16"/>
      <c r="DX18" s="20"/>
      <c r="DY18" s="27"/>
      <c r="DZ18" s="33"/>
      <c r="EC18" s="44"/>
    </row>
    <row r="19" spans="1:133" ht="12.75" customHeight="1">
      <c r="A19" s="319"/>
      <c r="B19" s="38"/>
      <c r="C19" s="38"/>
      <c r="D19" s="1374"/>
      <c r="E19" s="1374"/>
      <c r="F19" s="1374"/>
      <c r="G19" s="83"/>
      <c r="H19" s="83"/>
      <c r="I19" s="88"/>
      <c r="J19" s="91"/>
      <c r="K19" s="27">
        <v>4</v>
      </c>
      <c r="L19" s="59" t="s">
        <v>32</v>
      </c>
      <c r="M19" s="93">
        <v>2.4</v>
      </c>
      <c r="N19" s="93">
        <v>2</v>
      </c>
      <c r="O19" s="93">
        <v>1.8</v>
      </c>
      <c r="P19" s="93">
        <v>1.6</v>
      </c>
      <c r="Q19" s="93">
        <v>1.5</v>
      </c>
      <c r="R19" s="44">
        <f>IF($C$13&lt;=0.1,2.4,IF(AND($C$13&gt;0.1,$C$13&lt;=0.2),(2-2.4)*($C$13-0.1)/(0.2-0.1)+2.4,IF(AND($C$13&gt;0.2,$C$13&lt;=0.3),(1.8-2)*($C$13-0.2)/(0.3-0.2)+2,IF(AND($C$13&gt;0.3,$C$13&lt;=0.4),(1.6-1.8)*($C$13-0.3)/(0.4-0.3)+1.8,IF(AND($C$13&gt;0.4,$C$13&lt;=0.5),(1.5-1.6)*($C$13-0.4)/(0.5-0.4)+1.6,1.5)))))</f>
        <v>2.4</v>
      </c>
      <c r="T19" s="342" t="s">
        <v>247</v>
      </c>
      <c r="U19" s="405" t="s">
        <v>254</v>
      </c>
      <c r="V19" s="321">
        <v>1.5</v>
      </c>
      <c r="W19" s="321">
        <v>2.5</v>
      </c>
      <c r="X19" s="321">
        <v>1.75</v>
      </c>
      <c r="Y19" s="321" t="s">
        <v>110</v>
      </c>
      <c r="Z19" s="321" t="s">
        <v>112</v>
      </c>
      <c r="AA19" s="321" t="s">
        <v>112</v>
      </c>
      <c r="AB19" s="321" t="s">
        <v>112</v>
      </c>
      <c r="AC19" s="321" t="s">
        <v>112</v>
      </c>
      <c r="AD19" s="321">
        <v>0.02</v>
      </c>
      <c r="AE19" s="321">
        <v>0.75</v>
      </c>
      <c r="AF19" s="324"/>
      <c r="AG19" s="324"/>
      <c r="AH19" s="324"/>
      <c r="AI19" s="48"/>
      <c r="AJ19" s="236"/>
      <c r="AK19" s="236"/>
      <c r="AL19" s="484"/>
      <c r="AS19" s="48"/>
      <c r="AT19" s="1380" t="s">
        <v>518</v>
      </c>
      <c r="AU19" s="1381" t="s">
        <v>254</v>
      </c>
      <c r="AV19" s="1381" t="s">
        <v>254</v>
      </c>
      <c r="AW19" s="1381" t="s">
        <v>254</v>
      </c>
      <c r="AX19" s="1382" t="s">
        <v>254</v>
      </c>
      <c r="AY19" s="1383">
        <v>1.5</v>
      </c>
      <c r="AZ19" s="1384">
        <v>1.5</v>
      </c>
      <c r="BA19" s="1383">
        <v>2.5</v>
      </c>
      <c r="BB19" s="1384">
        <v>2.5</v>
      </c>
      <c r="BC19" s="1383">
        <v>1.75</v>
      </c>
      <c r="BD19" s="1384">
        <v>1.75</v>
      </c>
      <c r="BE19" s="621" t="s">
        <v>110</v>
      </c>
      <c r="BF19" s="622" t="s">
        <v>112</v>
      </c>
      <c r="BG19" s="622" t="s">
        <v>112</v>
      </c>
      <c r="BH19" s="622" t="s">
        <v>112</v>
      </c>
      <c r="BI19" s="622" t="s">
        <v>112</v>
      </c>
      <c r="BJ19" s="48"/>
      <c r="BK19" s="48"/>
      <c r="BL19" s="48"/>
      <c r="BM19" s="48"/>
      <c r="BN19" s="48"/>
      <c r="BO19" s="48"/>
      <c r="BP19" s="48"/>
      <c r="BQ19" s="48"/>
      <c r="BR19" s="48"/>
      <c r="BS19" s="48"/>
      <c r="BT19" s="48"/>
      <c r="BU19" s="16"/>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17"/>
      <c r="DU19" s="16"/>
      <c r="DV19" s="16"/>
      <c r="DW19" s="16"/>
      <c r="DX19" s="20"/>
      <c r="DY19" s="27"/>
      <c r="DZ19" s="33"/>
      <c r="EC19" s="44"/>
    </row>
    <row r="20" spans="1:133" ht="12.75" customHeight="1">
      <c r="A20" s="80"/>
      <c r="B20" s="55"/>
      <c r="C20" s="55"/>
      <c r="D20" s="1374"/>
      <c r="E20" s="1374"/>
      <c r="F20" s="1374"/>
      <c r="G20" s="89"/>
      <c r="H20" s="55"/>
      <c r="I20" s="90"/>
      <c r="J20" s="91"/>
      <c r="K20" s="27">
        <v>5</v>
      </c>
      <c r="L20" s="59" t="s">
        <v>35</v>
      </c>
      <c r="M20" s="93">
        <v>3.5</v>
      </c>
      <c r="N20" s="93">
        <v>3.2</v>
      </c>
      <c r="O20" s="93">
        <v>2.8</v>
      </c>
      <c r="P20" s="93">
        <v>2.4</v>
      </c>
      <c r="Q20" s="93">
        <v>2.4</v>
      </c>
      <c r="R20" s="44">
        <f>IF($C$13&lt;=0.1,3.5,IF(AND($C$13&gt;0.1,$C$13&lt;=0.2),(3.2-3.5)*($C$13-0.1)/(0.2-0.1)+3.5,IF(AND($C$13&gt;0.2,$C$13&lt;=0.3),(2.8-3.2)*($C$13-0.2)/(0.3-0.2)+3.2,IF(AND($C$13&gt;0.3,$C$13&lt;=0.4),(2.4-2.8)*($C$13-0.3)/(0.4-0.3)+2.8,IF(AND($C$13&gt;0.4,$C$13&lt;=0.5),2.4,2.4)))))</f>
        <v>3.5</v>
      </c>
      <c r="T20" s="342" t="s">
        <v>248</v>
      </c>
      <c r="U20" s="502" t="s">
        <v>417</v>
      </c>
      <c r="V20" s="341">
        <v>2</v>
      </c>
      <c r="W20" s="341">
        <v>2.5</v>
      </c>
      <c r="X20" s="341">
        <v>2</v>
      </c>
      <c r="Y20" s="341" t="s">
        <v>110</v>
      </c>
      <c r="Z20" s="341">
        <v>35</v>
      </c>
      <c r="AA20" s="341" t="s">
        <v>112</v>
      </c>
      <c r="AB20" s="341" t="s">
        <v>112</v>
      </c>
      <c r="AC20" s="341" t="s">
        <v>112</v>
      </c>
      <c r="AD20" s="341">
        <v>0.02</v>
      </c>
      <c r="AE20" s="341">
        <v>0.75</v>
      </c>
      <c r="AH20" s="324"/>
      <c r="AI20" s="48"/>
      <c r="AJ20" s="236"/>
      <c r="AK20" s="236"/>
      <c r="AL20" s="484"/>
      <c r="AM20" s="480"/>
      <c r="AN20" s="480"/>
      <c r="AO20" s="485"/>
      <c r="AP20" s="485"/>
      <c r="AQ20" s="485"/>
      <c r="AR20" s="485"/>
      <c r="AS20" s="48"/>
      <c r="AT20" s="1380" t="s">
        <v>570</v>
      </c>
      <c r="AU20" s="1381" t="s">
        <v>417</v>
      </c>
      <c r="AV20" s="1381" t="s">
        <v>417</v>
      </c>
      <c r="AW20" s="1381" t="s">
        <v>417</v>
      </c>
      <c r="AX20" s="1382" t="s">
        <v>417</v>
      </c>
      <c r="AY20" s="1383">
        <v>2</v>
      </c>
      <c r="AZ20" s="1384">
        <v>2</v>
      </c>
      <c r="BA20" s="1383">
        <v>2.5</v>
      </c>
      <c r="BB20" s="1384">
        <v>2.5</v>
      </c>
      <c r="BC20" s="1383">
        <v>2</v>
      </c>
      <c r="BD20" s="1384">
        <v>2</v>
      </c>
      <c r="BE20" s="621" t="s">
        <v>110</v>
      </c>
      <c r="BF20" s="624">
        <v>35</v>
      </c>
      <c r="BG20" s="622" t="s">
        <v>112</v>
      </c>
      <c r="BH20" s="622" t="s">
        <v>112</v>
      </c>
      <c r="BI20" s="622" t="s">
        <v>112</v>
      </c>
      <c r="BJ20" s="48"/>
      <c r="BK20" s="48"/>
      <c r="BL20" s="48"/>
      <c r="BM20" s="48"/>
      <c r="BN20" s="48"/>
      <c r="BO20" s="48"/>
      <c r="BP20" s="48"/>
      <c r="BQ20" s="48"/>
      <c r="BR20" s="48"/>
      <c r="BS20" s="48"/>
      <c r="BT20" s="48"/>
      <c r="BU20" s="16"/>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17"/>
      <c r="DU20" s="16"/>
      <c r="DV20" s="16"/>
      <c r="DW20" s="16"/>
      <c r="DX20" s="20"/>
      <c r="DY20" s="50"/>
      <c r="DZ20" s="70"/>
    </row>
    <row r="21" spans="1:133" ht="12.75" customHeight="1">
      <c r="A21" s="144" t="s">
        <v>63</v>
      </c>
      <c r="B21" s="55"/>
      <c r="C21" s="55"/>
      <c r="D21" s="55"/>
      <c r="E21" s="55"/>
      <c r="F21" s="55"/>
      <c r="G21" s="388" t="str">
        <f>"V = Cs*W = Σ(Fi) = "&amp;ROUND($C$81,2)&amp;" kips"</f>
        <v>V = Cs*W = Σ(Fi) = 0.68 kips</v>
      </c>
      <c r="H21" s="378"/>
      <c r="I21" s="379"/>
      <c r="J21" s="57"/>
      <c r="K21" s="13">
        <v>6</v>
      </c>
      <c r="L21" s="74" t="s">
        <v>36</v>
      </c>
      <c r="M21" s="103" t="s">
        <v>38</v>
      </c>
      <c r="N21" s="103" t="s">
        <v>38</v>
      </c>
      <c r="O21" s="103" t="s">
        <v>38</v>
      </c>
      <c r="P21" s="103" t="s">
        <v>38</v>
      </c>
      <c r="Q21" s="103" t="s">
        <v>38</v>
      </c>
      <c r="R21" s="27" t="s">
        <v>38</v>
      </c>
      <c r="T21" s="342" t="s">
        <v>250</v>
      </c>
      <c r="U21" s="502" t="s">
        <v>418</v>
      </c>
      <c r="V21" s="341">
        <v>1.5</v>
      </c>
      <c r="W21" s="341">
        <v>2.5</v>
      </c>
      <c r="X21" s="341">
        <v>1.5</v>
      </c>
      <c r="Y21" s="341" t="s">
        <v>110</v>
      </c>
      <c r="Z21" s="341" t="s">
        <v>112</v>
      </c>
      <c r="AA21" s="341" t="s">
        <v>112</v>
      </c>
      <c r="AB21" s="341" t="s">
        <v>112</v>
      </c>
      <c r="AC21" s="341" t="s">
        <v>112</v>
      </c>
      <c r="AD21" s="341">
        <v>0.02</v>
      </c>
      <c r="AE21" s="341">
        <v>0.75</v>
      </c>
      <c r="AH21" s="324"/>
      <c r="AI21" s="48"/>
      <c r="AJ21" s="236"/>
      <c r="AK21" s="236"/>
      <c r="AL21" s="484"/>
      <c r="AS21" s="48"/>
      <c r="AT21" s="1380" t="s">
        <v>571</v>
      </c>
      <c r="AU21" s="1381" t="s">
        <v>418</v>
      </c>
      <c r="AV21" s="1381" t="s">
        <v>418</v>
      </c>
      <c r="AW21" s="1381" t="s">
        <v>418</v>
      </c>
      <c r="AX21" s="1382" t="s">
        <v>418</v>
      </c>
      <c r="AY21" s="1383">
        <v>1.5</v>
      </c>
      <c r="AZ21" s="1384">
        <v>1.5</v>
      </c>
      <c r="BA21" s="1383">
        <v>2.5</v>
      </c>
      <c r="BB21" s="1384">
        <v>2.5</v>
      </c>
      <c r="BC21" s="1383">
        <v>1.5</v>
      </c>
      <c r="BD21" s="1384">
        <v>1.5</v>
      </c>
      <c r="BE21" s="621" t="s">
        <v>110</v>
      </c>
      <c r="BF21" s="622" t="s">
        <v>112</v>
      </c>
      <c r="BG21" s="622" t="s">
        <v>112</v>
      </c>
      <c r="BH21" s="622" t="s">
        <v>112</v>
      </c>
      <c r="BI21" s="622" t="s">
        <v>112</v>
      </c>
      <c r="BJ21" s="48"/>
      <c r="BK21" s="48"/>
      <c r="BL21" s="48"/>
      <c r="BM21" s="48"/>
      <c r="BN21" s="48"/>
      <c r="BO21" s="48"/>
      <c r="BP21" s="48"/>
      <c r="BQ21" s="48"/>
      <c r="BR21" s="48"/>
      <c r="BS21" s="48"/>
      <c r="BT21" s="48"/>
      <c r="BU21" s="16"/>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17"/>
      <c r="DU21" s="16"/>
      <c r="DV21" s="16"/>
      <c r="DW21" s="16"/>
      <c r="DX21" s="20"/>
      <c r="DY21" s="50"/>
      <c r="DZ21" s="70"/>
    </row>
    <row r="22" spans="1:133" ht="12.75" customHeight="1">
      <c r="A22" s="80"/>
      <c r="B22" s="67" t="s">
        <v>92</v>
      </c>
      <c r="C22" s="263">
        <v>1</v>
      </c>
      <c r="D22" s="55"/>
      <c r="E22" s="55"/>
      <c r="F22" s="380" t="s">
        <v>99</v>
      </c>
      <c r="G22" s="378"/>
      <c r="H22" s="378"/>
      <c r="I22" s="379"/>
      <c r="J22" s="57"/>
      <c r="K22" s="13">
        <v>7</v>
      </c>
      <c r="N22" s="27"/>
      <c r="O22" s="19"/>
      <c r="T22" s="325" t="s">
        <v>251</v>
      </c>
      <c r="U22" s="505" t="s">
        <v>256</v>
      </c>
      <c r="V22" s="321">
        <v>6.5</v>
      </c>
      <c r="W22" s="321">
        <v>3</v>
      </c>
      <c r="X22" s="321">
        <v>4</v>
      </c>
      <c r="Y22" s="321" t="s">
        <v>110</v>
      </c>
      <c r="Z22" s="321" t="s">
        <v>110</v>
      </c>
      <c r="AA22" s="321">
        <v>65</v>
      </c>
      <c r="AB22" s="321">
        <v>65</v>
      </c>
      <c r="AC22" s="321">
        <v>65</v>
      </c>
      <c r="AD22" s="321">
        <v>0.02</v>
      </c>
      <c r="AE22" s="321">
        <v>0.75</v>
      </c>
      <c r="AF22" s="324"/>
      <c r="AG22" s="324"/>
      <c r="AH22" s="303"/>
      <c r="AI22" s="48"/>
      <c r="AJ22" s="57"/>
      <c r="AK22" s="240"/>
      <c r="AL22" s="20"/>
      <c r="AS22" s="48"/>
      <c r="AT22" s="1380" t="s">
        <v>572</v>
      </c>
      <c r="AU22" s="1381" t="s">
        <v>256</v>
      </c>
      <c r="AV22" s="1381" t="s">
        <v>256</v>
      </c>
      <c r="AW22" s="1381" t="s">
        <v>256</v>
      </c>
      <c r="AX22" s="1382" t="s">
        <v>256</v>
      </c>
      <c r="AY22" s="1383">
        <v>6.5</v>
      </c>
      <c r="AZ22" s="1384">
        <v>6.5</v>
      </c>
      <c r="BA22" s="1383">
        <v>3</v>
      </c>
      <c r="BB22" s="1384">
        <v>3</v>
      </c>
      <c r="BC22" s="1383">
        <v>4</v>
      </c>
      <c r="BD22" s="1384">
        <v>4</v>
      </c>
      <c r="BE22" s="621" t="s">
        <v>110</v>
      </c>
      <c r="BF22" s="621" t="s">
        <v>110</v>
      </c>
      <c r="BG22" s="623">
        <v>65</v>
      </c>
      <c r="BH22" s="623">
        <v>65</v>
      </c>
      <c r="BI22" s="623">
        <v>65</v>
      </c>
      <c r="BJ22" s="48"/>
      <c r="BK22" s="48"/>
      <c r="BL22" s="48"/>
      <c r="BM22" s="48"/>
      <c r="BN22" s="48"/>
      <c r="BO22" s="48"/>
      <c r="BP22" s="48"/>
      <c r="BQ22" s="48"/>
      <c r="BR22" s="48"/>
      <c r="BS22" s="48"/>
      <c r="BT22" s="48"/>
      <c r="BU22" s="16"/>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17"/>
      <c r="DU22" s="16"/>
      <c r="DV22" s="16"/>
      <c r="DW22" s="16"/>
      <c r="DX22" s="20"/>
      <c r="DY22" s="27"/>
      <c r="DZ22" s="100"/>
      <c r="EC22" s="44"/>
    </row>
    <row r="23" spans="1:133" ht="12.75" customHeight="1">
      <c r="A23" s="80"/>
      <c r="B23" s="55"/>
      <c r="C23" s="55"/>
      <c r="D23" s="55"/>
      <c r="E23" s="55"/>
      <c r="F23" s="381" t="s">
        <v>0</v>
      </c>
      <c r="G23" s="378"/>
      <c r="H23" s="378"/>
      <c r="I23" s="379"/>
      <c r="J23" s="57"/>
      <c r="K23" s="25">
        <v>8</v>
      </c>
      <c r="L23" s="181" t="s">
        <v>405</v>
      </c>
      <c r="M23" s="528" t="str">
        <f>$C$8</f>
        <v>III</v>
      </c>
      <c r="N23" s="189" t="s">
        <v>406</v>
      </c>
      <c r="T23" s="506" t="s">
        <v>414</v>
      </c>
      <c r="U23" s="502" t="s">
        <v>419</v>
      </c>
      <c r="V23" s="341">
        <v>6.5</v>
      </c>
      <c r="W23" s="341">
        <v>3</v>
      </c>
      <c r="X23" s="341">
        <v>4</v>
      </c>
      <c r="Y23" s="341" t="s">
        <v>110</v>
      </c>
      <c r="Z23" s="341" t="s">
        <v>110</v>
      </c>
      <c r="AA23" s="341">
        <v>65</v>
      </c>
      <c r="AB23" s="341">
        <v>65</v>
      </c>
      <c r="AC23" s="341">
        <v>65</v>
      </c>
      <c r="AD23" s="341">
        <v>0.02</v>
      </c>
      <c r="AE23" s="341">
        <v>0.75</v>
      </c>
      <c r="AH23" s="324"/>
      <c r="AI23" s="48"/>
      <c r="AJ23" s="236"/>
      <c r="AK23" s="236"/>
      <c r="AL23" s="484"/>
      <c r="AS23" s="48"/>
      <c r="AT23" s="1380" t="s">
        <v>573</v>
      </c>
      <c r="AU23" s="1381" t="s">
        <v>419</v>
      </c>
      <c r="AV23" s="1381" t="s">
        <v>419</v>
      </c>
      <c r="AW23" s="1381" t="s">
        <v>419</v>
      </c>
      <c r="AX23" s="1382" t="s">
        <v>419</v>
      </c>
      <c r="AY23" s="1383">
        <v>6.5</v>
      </c>
      <c r="AZ23" s="1384">
        <v>6.5</v>
      </c>
      <c r="BA23" s="1383">
        <v>3</v>
      </c>
      <c r="BB23" s="1384">
        <v>3</v>
      </c>
      <c r="BC23" s="1383">
        <v>4</v>
      </c>
      <c r="BD23" s="1384">
        <v>4</v>
      </c>
      <c r="BE23" s="621" t="s">
        <v>110</v>
      </c>
      <c r="BF23" s="621" t="s">
        <v>110</v>
      </c>
      <c r="BG23" s="624">
        <v>65</v>
      </c>
      <c r="BH23" s="624">
        <v>65</v>
      </c>
      <c r="BI23" s="624">
        <v>65</v>
      </c>
      <c r="BJ23" s="48"/>
      <c r="BK23" s="48"/>
      <c r="BL23" s="48"/>
      <c r="BM23" s="48"/>
      <c r="BN23" s="48"/>
      <c r="BO23" s="48"/>
      <c r="BP23" s="48"/>
      <c r="BQ23" s="48"/>
      <c r="BR23" s="48"/>
      <c r="BS23" s="48"/>
      <c r="BT23" s="48"/>
      <c r="BU23" s="16"/>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17"/>
      <c r="DU23" s="16"/>
      <c r="DV23" s="16"/>
      <c r="DW23" s="16"/>
      <c r="DX23" s="20"/>
      <c r="DY23" s="27"/>
      <c r="DZ23" s="100"/>
      <c r="EC23" s="44"/>
    </row>
    <row r="24" spans="1:133" ht="12.75" customHeight="1">
      <c r="A24" s="80"/>
      <c r="B24" s="151" t="s">
        <v>88</v>
      </c>
      <c r="C24" s="260" t="s">
        <v>105</v>
      </c>
      <c r="D24" s="259" t="s">
        <v>106</v>
      </c>
      <c r="E24" s="55"/>
      <c r="F24" s="55"/>
      <c r="G24" s="20"/>
      <c r="H24" s="20"/>
      <c r="I24" s="102"/>
      <c r="J24" s="57"/>
      <c r="K24" s="27">
        <v>9</v>
      </c>
      <c r="T24" s="325" t="s">
        <v>415</v>
      </c>
      <c r="U24" s="471" t="s">
        <v>264</v>
      </c>
      <c r="V24" s="321">
        <v>2</v>
      </c>
      <c r="W24" s="321">
        <v>2.5</v>
      </c>
      <c r="X24" s="321">
        <v>2</v>
      </c>
      <c r="Y24" s="321" t="s">
        <v>110</v>
      </c>
      <c r="Z24" s="321" t="s">
        <v>110</v>
      </c>
      <c r="AA24" s="321">
        <v>35</v>
      </c>
      <c r="AB24" s="321" t="s">
        <v>112</v>
      </c>
      <c r="AC24" s="321" t="s">
        <v>112</v>
      </c>
      <c r="AD24" s="321">
        <v>0.02</v>
      </c>
      <c r="AE24" s="321">
        <v>0.75</v>
      </c>
      <c r="AF24" s="324"/>
      <c r="AG24" s="324"/>
      <c r="AH24" s="324"/>
      <c r="AI24" s="48"/>
      <c r="AJ24" s="236"/>
      <c r="AK24" s="236"/>
      <c r="AL24" s="484"/>
      <c r="AM24" s="480"/>
      <c r="AN24" s="480"/>
      <c r="AO24" s="485"/>
      <c r="AP24" s="485"/>
      <c r="AQ24" s="485"/>
      <c r="AR24" s="485"/>
      <c r="AS24" s="48"/>
      <c r="AT24" s="1380" t="s">
        <v>519</v>
      </c>
      <c r="AU24" s="1381" t="s">
        <v>264</v>
      </c>
      <c r="AV24" s="1381" t="s">
        <v>264</v>
      </c>
      <c r="AW24" s="1381" t="s">
        <v>264</v>
      </c>
      <c r="AX24" s="1382" t="s">
        <v>264</v>
      </c>
      <c r="AY24" s="1383">
        <v>2</v>
      </c>
      <c r="AZ24" s="1384">
        <v>2</v>
      </c>
      <c r="BA24" s="1383">
        <v>2.5</v>
      </c>
      <c r="BB24" s="1384">
        <v>2.5</v>
      </c>
      <c r="BC24" s="1383">
        <v>2</v>
      </c>
      <c r="BD24" s="1384">
        <v>2</v>
      </c>
      <c r="BE24" s="621" t="s">
        <v>110</v>
      </c>
      <c r="BF24" s="621" t="s">
        <v>110</v>
      </c>
      <c r="BG24" s="623">
        <v>35</v>
      </c>
      <c r="BH24" s="622" t="s">
        <v>112</v>
      </c>
      <c r="BI24" s="622" t="s">
        <v>112</v>
      </c>
      <c r="BJ24" s="48"/>
      <c r="BK24" s="48"/>
      <c r="BL24" s="48"/>
      <c r="BM24" s="48"/>
      <c r="BN24" s="48"/>
      <c r="BO24" s="48"/>
      <c r="BP24" s="104"/>
      <c r="BQ24" s="104"/>
      <c r="BR24" s="104"/>
      <c r="BS24" s="104"/>
      <c r="BT24" s="104"/>
      <c r="BU24" s="16"/>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4"/>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4"/>
      <c r="DS24" s="104"/>
      <c r="DT24" s="17"/>
      <c r="DU24" s="16"/>
      <c r="DV24" s="16"/>
      <c r="DW24" s="16"/>
      <c r="DX24" s="20"/>
      <c r="DY24" s="27"/>
      <c r="DZ24" s="100"/>
      <c r="EC24" s="44"/>
    </row>
    <row r="25" spans="1:133" ht="12.75" customHeight="1">
      <c r="A25" s="80"/>
      <c r="B25" s="154" t="s">
        <v>98</v>
      </c>
      <c r="C25" s="261" t="s">
        <v>91</v>
      </c>
      <c r="D25" s="156" t="s">
        <v>94</v>
      </c>
      <c r="E25" s="55"/>
      <c r="F25" s="55"/>
      <c r="G25" s="55"/>
      <c r="H25" s="55"/>
      <c r="I25" s="90"/>
      <c r="J25" s="15"/>
      <c r="K25" s="27">
        <v>10</v>
      </c>
      <c r="L25" s="270" t="s">
        <v>462</v>
      </c>
      <c r="M25" s="112"/>
      <c r="N25" s="113"/>
      <c r="O25" s="114"/>
      <c r="P25" s="25"/>
      <c r="T25" s="501" t="s">
        <v>416</v>
      </c>
      <c r="U25" s="503" t="s">
        <v>420</v>
      </c>
      <c r="V25" s="341">
        <v>4</v>
      </c>
      <c r="W25" s="341">
        <v>2</v>
      </c>
      <c r="X25" s="341">
        <v>3.5</v>
      </c>
      <c r="Y25" s="341" t="s">
        <v>110</v>
      </c>
      <c r="Z25" s="341" t="s">
        <v>110</v>
      </c>
      <c r="AA25" s="341">
        <v>65</v>
      </c>
      <c r="AB25" s="341">
        <v>65</v>
      </c>
      <c r="AC25" s="341">
        <v>65</v>
      </c>
      <c r="AD25" s="341">
        <v>0.02</v>
      </c>
      <c r="AE25" s="341">
        <v>0.75</v>
      </c>
      <c r="AH25" s="324"/>
      <c r="AI25" s="51"/>
      <c r="AJ25" s="236"/>
      <c r="AK25" s="236"/>
      <c r="AL25" s="484"/>
      <c r="AS25" s="51"/>
      <c r="AT25" s="1380" t="s">
        <v>574</v>
      </c>
      <c r="AU25" s="1381" t="s">
        <v>420</v>
      </c>
      <c r="AV25" s="1381" t="s">
        <v>420</v>
      </c>
      <c r="AW25" s="1381" t="s">
        <v>420</v>
      </c>
      <c r="AX25" s="1382" t="s">
        <v>420</v>
      </c>
      <c r="AY25" s="1383">
        <v>4</v>
      </c>
      <c r="AZ25" s="1384">
        <v>4</v>
      </c>
      <c r="BA25" s="1383">
        <v>2</v>
      </c>
      <c r="BB25" s="1384">
        <v>2</v>
      </c>
      <c r="BC25" s="1383">
        <v>3.5</v>
      </c>
      <c r="BD25" s="1384">
        <v>3.5</v>
      </c>
      <c r="BE25" s="625" t="s">
        <v>110</v>
      </c>
      <c r="BF25" s="625" t="s">
        <v>110</v>
      </c>
      <c r="BG25" s="626">
        <v>65</v>
      </c>
      <c r="BH25" s="626">
        <v>65</v>
      </c>
      <c r="BI25" s="626">
        <v>65</v>
      </c>
      <c r="BJ25" s="106"/>
      <c r="BK25" s="106"/>
      <c r="BL25" s="106"/>
      <c r="BM25" s="106"/>
      <c r="BN25" s="106"/>
      <c r="BO25" s="106"/>
      <c r="BP25" s="106"/>
      <c r="BQ25" s="106"/>
      <c r="BR25" s="106"/>
      <c r="BS25" s="106"/>
      <c r="BT25" s="106"/>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17"/>
      <c r="DU25" s="16"/>
      <c r="DV25" s="16"/>
      <c r="DW25" s="16"/>
      <c r="DX25" s="16"/>
      <c r="DY25" s="27"/>
      <c r="DZ25" s="100"/>
      <c r="EC25" s="44"/>
    </row>
    <row r="26" spans="1:133" ht="12.75" customHeight="1">
      <c r="A26" s="80"/>
      <c r="B26" s="346">
        <f>$C$22</f>
        <v>1</v>
      </c>
      <c r="C26" s="352">
        <v>14</v>
      </c>
      <c r="D26" s="3">
        <v>27.9</v>
      </c>
      <c r="E26" s="235" t="str">
        <f>IF($AG$104="N.P.","  WARNING: Seismic Resisting System which was","")</f>
        <v/>
      </c>
      <c r="F26" s="55"/>
      <c r="G26" s="108"/>
      <c r="H26" s="83"/>
      <c r="I26" s="90"/>
      <c r="J26" s="57"/>
      <c r="K26" s="27">
        <v>11</v>
      </c>
      <c r="L26" s="289"/>
      <c r="M26" s="112" t="s">
        <v>384</v>
      </c>
      <c r="N26" s="112"/>
      <c r="O26" s="127"/>
      <c r="T26" s="343" t="s">
        <v>249</v>
      </c>
      <c r="U26" s="323"/>
      <c r="V26" s="323"/>
      <c r="W26" s="323"/>
      <c r="X26" s="323"/>
      <c r="Y26" s="323"/>
      <c r="Z26" s="323"/>
      <c r="AA26" s="323"/>
      <c r="AB26" s="323"/>
      <c r="AC26" s="344"/>
      <c r="AD26" s="323"/>
      <c r="AE26" s="344"/>
      <c r="AF26" s="303"/>
      <c r="AG26" s="303"/>
      <c r="AH26" s="324"/>
      <c r="AI26" s="51"/>
      <c r="AJ26" s="236"/>
      <c r="AK26" s="236"/>
      <c r="AL26" s="484"/>
      <c r="AS26" s="51"/>
      <c r="AT26" s="603" t="s">
        <v>249</v>
      </c>
      <c r="AU26" s="604"/>
      <c r="AV26" s="604"/>
      <c r="AW26" s="604"/>
      <c r="AX26" s="604"/>
      <c r="AY26" s="591"/>
      <c r="AZ26" s="591"/>
      <c r="BA26" s="591"/>
      <c r="BB26" s="591"/>
      <c r="BC26" s="591"/>
      <c r="BD26" s="591"/>
      <c r="BE26" s="591"/>
      <c r="BF26" s="605"/>
      <c r="BG26" s="605"/>
      <c r="BH26" s="605"/>
      <c r="BI26" s="592"/>
      <c r="BJ26" s="106"/>
      <c r="BK26" s="106"/>
      <c r="BL26" s="106"/>
      <c r="BM26" s="106"/>
      <c r="BN26" s="106"/>
      <c r="BO26" s="106"/>
      <c r="BP26" s="106"/>
      <c r="BQ26" s="106"/>
      <c r="BR26" s="106"/>
      <c r="BS26" s="106"/>
      <c r="BT26" s="106"/>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18"/>
      <c r="DX26" s="20"/>
      <c r="DY26" s="27"/>
      <c r="DZ26" s="100"/>
      <c r="EC26" s="44"/>
    </row>
    <row r="27" spans="1:133" ht="12.75" customHeight="1">
      <c r="A27" s="80"/>
      <c r="B27" s="347" t="str">
        <f>IF($C$22-1&lt;=0,"",($C$22-1))</f>
        <v/>
      </c>
      <c r="C27" s="262"/>
      <c r="D27" s="264"/>
      <c r="E27" s="235" t="str">
        <f>IF($AG$104="N.P.","                    selected is NOT Permitted!","")</f>
        <v/>
      </c>
      <c r="F27" s="55"/>
      <c r="G27" s="55"/>
      <c r="H27" s="55"/>
      <c r="I27" s="90"/>
      <c r="K27" s="27">
        <v>12</v>
      </c>
      <c r="L27" s="294" t="s">
        <v>51</v>
      </c>
      <c r="M27" s="482" t="s">
        <v>158</v>
      </c>
      <c r="N27" s="115" t="s">
        <v>27</v>
      </c>
      <c r="O27" s="115" t="s">
        <v>34</v>
      </c>
      <c r="P27" s="303"/>
      <c r="Q27" s="33"/>
      <c r="T27" s="385" t="s">
        <v>265</v>
      </c>
      <c r="U27" s="406" t="s">
        <v>320</v>
      </c>
      <c r="V27" s="362">
        <v>8</v>
      </c>
      <c r="W27" s="398">
        <v>2</v>
      </c>
      <c r="X27" s="398">
        <v>4</v>
      </c>
      <c r="Y27" s="363" t="s">
        <v>110</v>
      </c>
      <c r="Z27" s="300" t="s">
        <v>110</v>
      </c>
      <c r="AA27" s="300">
        <v>160</v>
      </c>
      <c r="AB27" s="300">
        <v>160</v>
      </c>
      <c r="AC27" s="300">
        <v>100</v>
      </c>
      <c r="AD27" s="320">
        <v>0.03</v>
      </c>
      <c r="AE27" s="320">
        <v>0.75</v>
      </c>
      <c r="AF27" s="324"/>
      <c r="AG27" s="324"/>
      <c r="AH27" s="324"/>
      <c r="AI27" s="16"/>
      <c r="AJ27" s="100"/>
      <c r="AK27" s="20"/>
      <c r="AL27" s="33"/>
      <c r="AM27" s="100"/>
      <c r="AN27" s="33"/>
      <c r="AO27" s="33"/>
      <c r="AP27" s="33"/>
      <c r="AQ27" s="33"/>
      <c r="AR27" s="15"/>
      <c r="AS27" s="15"/>
      <c r="AT27" s="1385" t="s">
        <v>537</v>
      </c>
      <c r="AU27" s="1386" t="s">
        <v>320</v>
      </c>
      <c r="AV27" s="1386" t="s">
        <v>320</v>
      </c>
      <c r="AW27" s="1386" t="s">
        <v>320</v>
      </c>
      <c r="AX27" s="1387" t="s">
        <v>320</v>
      </c>
      <c r="AY27" s="1383">
        <v>8</v>
      </c>
      <c r="AZ27" s="1384">
        <v>8</v>
      </c>
      <c r="BA27" s="1383">
        <v>2</v>
      </c>
      <c r="BB27" s="1384">
        <v>2</v>
      </c>
      <c r="BC27" s="1383">
        <v>4</v>
      </c>
      <c r="BD27" s="1384">
        <v>4</v>
      </c>
      <c r="BE27" s="606" t="s">
        <v>110</v>
      </c>
      <c r="BF27" s="607" t="s">
        <v>110</v>
      </c>
      <c r="BG27" s="608">
        <v>160</v>
      </c>
      <c r="BH27" s="608">
        <v>160</v>
      </c>
      <c r="BI27" s="608">
        <v>100</v>
      </c>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7"/>
      <c r="DT27" s="18"/>
      <c r="DX27" s="20"/>
      <c r="DY27" s="27"/>
      <c r="DZ27" s="100"/>
      <c r="EC27" s="44"/>
    </row>
    <row r="28" spans="1:133" ht="12.75" customHeight="1">
      <c r="A28" s="80"/>
      <c r="B28" s="347" t="str">
        <f>IF($C$22-2&lt;=0,"",($C$22-2))</f>
        <v/>
      </c>
      <c r="C28" s="262"/>
      <c r="D28" s="264"/>
      <c r="E28" s="235" t="str">
        <f>IF(AND($C$55&gt;=0.2,$C$10="E",$C$69&gt;=0.7),"Must use Modal Analysis Procedure,","")</f>
        <v/>
      </c>
      <c r="F28" s="55"/>
      <c r="G28" s="55"/>
      <c r="H28" s="83"/>
      <c r="I28" s="90"/>
      <c r="K28" s="27">
        <v>13</v>
      </c>
      <c r="L28" s="483" t="s">
        <v>52</v>
      </c>
      <c r="M28" s="116" t="s">
        <v>29</v>
      </c>
      <c r="N28" s="116" t="s">
        <v>29</v>
      </c>
      <c r="O28" s="116" t="s">
        <v>29</v>
      </c>
      <c r="P28" s="303"/>
      <c r="Q28" s="33"/>
      <c r="T28" s="342" t="s">
        <v>266</v>
      </c>
      <c r="U28" s="405" t="s">
        <v>421</v>
      </c>
      <c r="V28" s="361">
        <v>6</v>
      </c>
      <c r="W28" s="399">
        <v>2</v>
      </c>
      <c r="X28" s="399">
        <v>5</v>
      </c>
      <c r="Y28" s="364" t="s">
        <v>110</v>
      </c>
      <c r="Z28" s="298" t="s">
        <v>110</v>
      </c>
      <c r="AA28" s="298">
        <v>160</v>
      </c>
      <c r="AB28" s="298">
        <v>160</v>
      </c>
      <c r="AC28" s="298">
        <v>100</v>
      </c>
      <c r="AD28" s="298">
        <v>0.03</v>
      </c>
      <c r="AE28" s="298">
        <v>0.75</v>
      </c>
      <c r="AF28" s="324"/>
      <c r="AG28" s="324"/>
      <c r="AH28" s="324"/>
      <c r="AI28" s="16"/>
      <c r="AS28" s="15"/>
      <c r="AT28" s="1385" t="s">
        <v>576</v>
      </c>
      <c r="AU28" s="1386" t="s">
        <v>421</v>
      </c>
      <c r="AV28" s="1386" t="s">
        <v>421</v>
      </c>
      <c r="AW28" s="1386" t="s">
        <v>421</v>
      </c>
      <c r="AX28" s="1387" t="s">
        <v>421</v>
      </c>
      <c r="AY28" s="1383">
        <v>6</v>
      </c>
      <c r="AZ28" s="1384">
        <v>6</v>
      </c>
      <c r="BA28" s="1383">
        <v>2</v>
      </c>
      <c r="BB28" s="1384">
        <v>2</v>
      </c>
      <c r="BC28" s="1383">
        <v>5</v>
      </c>
      <c r="BD28" s="1384">
        <v>5</v>
      </c>
      <c r="BE28" s="609" t="s">
        <v>110</v>
      </c>
      <c r="BF28" s="599" t="s">
        <v>110</v>
      </c>
      <c r="BG28" s="602">
        <v>160</v>
      </c>
      <c r="BH28" s="602">
        <v>160</v>
      </c>
      <c r="BI28" s="602">
        <v>100</v>
      </c>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7"/>
      <c r="DT28" s="18"/>
      <c r="DX28" s="20"/>
      <c r="DY28" s="27"/>
      <c r="DZ28" s="100"/>
      <c r="EC28" s="44"/>
    </row>
    <row r="29" spans="1:133" ht="12.75" customHeight="1">
      <c r="A29" s="80"/>
      <c r="B29" s="347" t="str">
        <f>IF($C$22-3&lt;=0,"",($C$22-3))</f>
        <v/>
      </c>
      <c r="C29" s="262"/>
      <c r="D29" s="264"/>
      <c r="E29" s="235" t="str">
        <f>IF(AND($C$55&gt;=0.2,$C$10="E",$C$69&gt;=0.7)," per ASCE 7-05, Sect. 12.9!","")</f>
        <v/>
      </c>
      <c r="F29" s="55"/>
      <c r="G29" s="20"/>
      <c r="H29" s="20"/>
      <c r="I29" s="102"/>
      <c r="J29" s="57"/>
      <c r="K29" s="27">
        <v>14</v>
      </c>
      <c r="L29" s="118" t="s">
        <v>368</v>
      </c>
      <c r="M29" s="118" t="s">
        <v>31</v>
      </c>
      <c r="N29" s="118" t="s">
        <v>31</v>
      </c>
      <c r="O29" s="118" t="s">
        <v>33</v>
      </c>
      <c r="P29" s="100"/>
      <c r="Q29" s="33"/>
      <c r="T29" s="325" t="s">
        <v>267</v>
      </c>
      <c r="U29" s="404" t="s">
        <v>422</v>
      </c>
      <c r="V29" s="359">
        <v>3.25</v>
      </c>
      <c r="W29" s="400">
        <v>2</v>
      </c>
      <c r="X29" s="400">
        <v>3.25</v>
      </c>
      <c r="Y29" s="365" t="s">
        <v>110</v>
      </c>
      <c r="Z29" s="297" t="s">
        <v>110</v>
      </c>
      <c r="AA29" s="297">
        <v>35</v>
      </c>
      <c r="AB29" s="297">
        <v>35</v>
      </c>
      <c r="AC29" s="297" t="s">
        <v>112</v>
      </c>
      <c r="AD29" s="297">
        <v>0.02</v>
      </c>
      <c r="AE29" s="297">
        <v>0.75</v>
      </c>
      <c r="AF29" s="324"/>
      <c r="AG29" s="324"/>
      <c r="AH29" s="324"/>
      <c r="AI29" s="16"/>
      <c r="AS29" s="15"/>
      <c r="AT29" s="1385" t="s">
        <v>577</v>
      </c>
      <c r="AU29" s="1386" t="s">
        <v>422</v>
      </c>
      <c r="AV29" s="1386" t="s">
        <v>422</v>
      </c>
      <c r="AW29" s="1386" t="s">
        <v>422</v>
      </c>
      <c r="AX29" s="1387" t="s">
        <v>422</v>
      </c>
      <c r="AY29" s="1383">
        <v>3.25</v>
      </c>
      <c r="AZ29" s="1384">
        <v>3.25</v>
      </c>
      <c r="BA29" s="1383">
        <v>2</v>
      </c>
      <c r="BB29" s="1384">
        <v>2</v>
      </c>
      <c r="BC29" s="1383">
        <v>3.25</v>
      </c>
      <c r="BD29" s="1384">
        <v>3.25</v>
      </c>
      <c r="BE29" s="627" t="s">
        <v>110</v>
      </c>
      <c r="BF29" s="627" t="s">
        <v>110</v>
      </c>
      <c r="BG29" s="628">
        <v>35</v>
      </c>
      <c r="BH29" s="628">
        <v>35</v>
      </c>
      <c r="BI29" s="622" t="s">
        <v>112</v>
      </c>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7"/>
      <c r="DT29" s="18"/>
      <c r="DX29" s="20"/>
      <c r="DY29" s="27"/>
      <c r="DZ29" s="33"/>
      <c r="EC29" s="44"/>
    </row>
    <row r="30" spans="1:133" ht="12.75" customHeight="1">
      <c r="A30" s="80"/>
      <c r="B30" s="347" t="str">
        <f>IF($C$22-4&lt;=0,"",($C$22-4))</f>
        <v/>
      </c>
      <c r="C30" s="262"/>
      <c r="D30" s="264"/>
      <c r="E30" s="55"/>
      <c r="F30" s="55"/>
      <c r="G30" s="110"/>
      <c r="H30" s="55"/>
      <c r="I30" s="90"/>
      <c r="K30" s="27">
        <v>15</v>
      </c>
      <c r="L30" s="118" t="s">
        <v>370</v>
      </c>
      <c r="M30" s="118" t="s">
        <v>33</v>
      </c>
      <c r="N30" s="118" t="s">
        <v>33</v>
      </c>
      <c r="O30" s="118" t="s">
        <v>32</v>
      </c>
      <c r="P30" s="100"/>
      <c r="Q30" s="33"/>
      <c r="T30" s="325" t="s">
        <v>268</v>
      </c>
      <c r="U30" s="404" t="s">
        <v>125</v>
      </c>
      <c r="V30" s="359">
        <v>6</v>
      </c>
      <c r="W30" s="400">
        <v>2.5</v>
      </c>
      <c r="X30" s="400">
        <v>5</v>
      </c>
      <c r="Y30" s="365" t="s">
        <v>110</v>
      </c>
      <c r="Z30" s="297" t="s">
        <v>110</v>
      </c>
      <c r="AA30" s="297">
        <v>160</v>
      </c>
      <c r="AB30" s="297">
        <v>160</v>
      </c>
      <c r="AC30" s="297">
        <v>100</v>
      </c>
      <c r="AD30" s="297">
        <v>0.02</v>
      </c>
      <c r="AE30" s="297">
        <v>0.75</v>
      </c>
      <c r="AF30" s="324"/>
      <c r="AG30" s="324"/>
      <c r="AH30" s="324"/>
      <c r="AT30" s="1385" t="s">
        <v>578</v>
      </c>
      <c r="AU30" s="1386" t="s">
        <v>125</v>
      </c>
      <c r="AV30" s="1386" t="s">
        <v>125</v>
      </c>
      <c r="AW30" s="1386" t="s">
        <v>125</v>
      </c>
      <c r="AX30" s="1387" t="s">
        <v>125</v>
      </c>
      <c r="AY30" s="1383">
        <v>6</v>
      </c>
      <c r="AZ30" s="1384">
        <v>6</v>
      </c>
      <c r="BA30" s="1383">
        <v>2.5</v>
      </c>
      <c r="BB30" s="1384">
        <v>2.5</v>
      </c>
      <c r="BC30" s="1383">
        <v>5</v>
      </c>
      <c r="BD30" s="1384">
        <v>5</v>
      </c>
      <c r="BE30" s="621" t="s">
        <v>110</v>
      </c>
      <c r="BF30" s="621" t="s">
        <v>110</v>
      </c>
      <c r="BG30" s="629">
        <v>160</v>
      </c>
      <c r="BH30" s="629">
        <v>160</v>
      </c>
      <c r="BI30" s="629">
        <v>100</v>
      </c>
      <c r="BL30" s="16"/>
      <c r="BM30" s="16"/>
      <c r="BN30" s="16"/>
      <c r="BO30" s="16"/>
      <c r="BP30" s="16"/>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8"/>
      <c r="DT30" s="18"/>
      <c r="DX30" s="20"/>
      <c r="DY30" s="27"/>
      <c r="DZ30" s="33"/>
      <c r="EC30" s="44"/>
    </row>
    <row r="31" spans="1:133" ht="12.75" customHeight="1">
      <c r="A31" s="80"/>
      <c r="B31" s="347" t="str">
        <f>IF($C$22-5&lt;=0,"",($C$22-5))</f>
        <v/>
      </c>
      <c r="C31" s="262"/>
      <c r="D31" s="264"/>
      <c r="E31" s="55"/>
      <c r="F31" s="55"/>
      <c r="G31" s="110"/>
      <c r="H31" s="83"/>
      <c r="I31" s="99"/>
      <c r="J31" s="57"/>
      <c r="K31" s="507" t="s">
        <v>236</v>
      </c>
      <c r="L31" s="124" t="s">
        <v>371</v>
      </c>
      <c r="M31" s="124" t="s">
        <v>32</v>
      </c>
      <c r="N31" s="124" t="s">
        <v>32</v>
      </c>
      <c r="O31" s="124" t="s">
        <v>32</v>
      </c>
      <c r="P31" s="25" t="s">
        <v>147</v>
      </c>
      <c r="Q31" s="33"/>
      <c r="T31" s="325" t="s">
        <v>269</v>
      </c>
      <c r="U31" s="404" t="s">
        <v>126</v>
      </c>
      <c r="V31" s="359">
        <v>5</v>
      </c>
      <c r="W31" s="400">
        <v>2.5</v>
      </c>
      <c r="X31" s="400">
        <v>2</v>
      </c>
      <c r="Y31" s="365" t="s">
        <v>110</v>
      </c>
      <c r="Z31" s="297" t="s">
        <v>110</v>
      </c>
      <c r="AA31" s="297" t="s">
        <v>112</v>
      </c>
      <c r="AB31" s="297" t="s">
        <v>112</v>
      </c>
      <c r="AC31" s="297" t="s">
        <v>112</v>
      </c>
      <c r="AD31" s="297">
        <v>0.02</v>
      </c>
      <c r="AE31" s="297">
        <v>0.75</v>
      </c>
      <c r="AF31" s="324"/>
      <c r="AG31" s="324"/>
      <c r="AH31" s="324"/>
      <c r="AI31" s="20"/>
      <c r="AT31" s="1385" t="s">
        <v>579</v>
      </c>
      <c r="AU31" s="1386" t="s">
        <v>126</v>
      </c>
      <c r="AV31" s="1386" t="s">
        <v>126</v>
      </c>
      <c r="AW31" s="1386" t="s">
        <v>126</v>
      </c>
      <c r="AX31" s="1387" t="s">
        <v>126</v>
      </c>
      <c r="AY31" s="1383">
        <v>5</v>
      </c>
      <c r="AZ31" s="1384">
        <v>5</v>
      </c>
      <c r="BA31" s="1383">
        <v>2.5</v>
      </c>
      <c r="BB31" s="1384">
        <v>2.5</v>
      </c>
      <c r="BC31" s="1383">
        <v>2</v>
      </c>
      <c r="BD31" s="1384">
        <v>2</v>
      </c>
      <c r="BE31" s="621" t="s">
        <v>110</v>
      </c>
      <c r="BF31" s="621" t="s">
        <v>110</v>
      </c>
      <c r="BG31" s="622" t="s">
        <v>112</v>
      </c>
      <c r="BH31" s="622" t="s">
        <v>112</v>
      </c>
      <c r="BI31" s="622" t="s">
        <v>112</v>
      </c>
      <c r="BL31" s="16"/>
      <c r="BM31" s="16"/>
      <c r="BN31" s="16"/>
      <c r="BO31" s="16"/>
      <c r="BP31" s="16"/>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8"/>
      <c r="DT31" s="18"/>
      <c r="DX31" s="20"/>
      <c r="DY31" s="27"/>
      <c r="DZ31" s="33"/>
      <c r="EC31" s="44"/>
    </row>
    <row r="32" spans="1:133" ht="12.75" customHeight="1">
      <c r="A32" s="80"/>
      <c r="B32" s="347" t="str">
        <f>IF($C$22-6&lt;=0,"",($C$22-6))</f>
        <v/>
      </c>
      <c r="C32" s="262"/>
      <c r="D32" s="264"/>
      <c r="E32" s="55"/>
      <c r="F32" s="55"/>
      <c r="G32" s="110"/>
      <c r="H32" s="105"/>
      <c r="I32" s="90"/>
      <c r="J32" s="57"/>
      <c r="K32" s="507" t="s">
        <v>237</v>
      </c>
      <c r="L32" s="27" t="s">
        <v>56</v>
      </c>
      <c r="M32" s="25" t="str">
        <f>IF(OR($M$23="III",$M$23="IV"),"",IF($C$54&lt;0.167,"A",IF(AND($C$54&gt;=0.167,$C$54&lt;0.33),"B",IF(AND($C$54&gt;=0.33,$C$54&lt;0.5),"C",IF(AND($C$54&gt;=0.5,$C$13&lt;0.75),"D",IF((AND($C$54&gt;=0.5,$C$13&gt;=0.75)),"E"))))))</f>
        <v/>
      </c>
      <c r="N32" s="27" t="str">
        <f>IF(OR($M$23="I",$M$23="II",$M$23="IV"),"",IF($C$54&lt;0.167,"A",IF(AND($C$54&gt;=0.167,$C$54&lt;0.33),"B",IF(AND($C$54&gt;=0.33,$C$54&lt;0.5),"C",IF(AND($C$54&gt;=0.5,$C$13&lt;0.75),"D",IF((AND($C$54&gt;=0.5,$C$13&gt;=0.75)),"E"))))))</f>
        <v>A</v>
      </c>
      <c r="O32" s="27" t="str">
        <f>IF(OR($M$23="I",$M$23="II",$M$23="III"),"",IF($C$54&lt;0.167,"A",IF(AND($C$54&gt;=0.167,$C$54&lt;0.33),"C",IF(AND($C$54&gt;=0.33,$C$54&lt;0.5),"D",IF(AND($C$54&gt;=0.5,$C$13&lt;0.75),"D",IF((AND($C$54&gt;=0.5,$C$13&gt;=0.75)),"F"))))))</f>
        <v/>
      </c>
      <c r="P32" s="126">
        <f>IF($C$59="A",1,IF($C$59="B",2,IF($C$59="C",3,IF($C$59="D",4,IF($C$59="E",5,IF($C$59="F",6))))))</f>
        <v>1</v>
      </c>
      <c r="Q32" s="33"/>
      <c r="T32" s="325" t="s">
        <v>270</v>
      </c>
      <c r="U32" s="404" t="s">
        <v>127</v>
      </c>
      <c r="V32" s="359">
        <v>2</v>
      </c>
      <c r="W32" s="400">
        <v>2.5</v>
      </c>
      <c r="X32" s="400">
        <v>2</v>
      </c>
      <c r="Y32" s="365" t="s">
        <v>110</v>
      </c>
      <c r="Z32" s="297" t="s">
        <v>112</v>
      </c>
      <c r="AA32" s="297" t="s">
        <v>112</v>
      </c>
      <c r="AB32" s="297" t="s">
        <v>112</v>
      </c>
      <c r="AC32" s="297" t="s">
        <v>112</v>
      </c>
      <c r="AD32" s="297">
        <v>0.02</v>
      </c>
      <c r="AE32" s="297">
        <v>0.75</v>
      </c>
      <c r="AF32" s="324"/>
      <c r="AG32" s="324"/>
      <c r="AH32" s="324"/>
      <c r="AT32" s="1385" t="s">
        <v>580</v>
      </c>
      <c r="AU32" s="1386" t="s">
        <v>127</v>
      </c>
      <c r="AV32" s="1386" t="s">
        <v>127</v>
      </c>
      <c r="AW32" s="1386" t="s">
        <v>127</v>
      </c>
      <c r="AX32" s="1387" t="s">
        <v>127</v>
      </c>
      <c r="AY32" s="1383">
        <v>2</v>
      </c>
      <c r="AZ32" s="1384">
        <v>2</v>
      </c>
      <c r="BA32" s="1383">
        <v>2.5</v>
      </c>
      <c r="BB32" s="1384">
        <v>2.5</v>
      </c>
      <c r="BC32" s="1383">
        <v>2</v>
      </c>
      <c r="BD32" s="1384">
        <v>2</v>
      </c>
      <c r="BE32" s="621" t="s">
        <v>110</v>
      </c>
      <c r="BF32" s="622" t="s">
        <v>112</v>
      </c>
      <c r="BG32" s="622" t="s">
        <v>112</v>
      </c>
      <c r="BH32" s="622" t="s">
        <v>112</v>
      </c>
      <c r="BI32" s="622" t="s">
        <v>112</v>
      </c>
      <c r="BL32" s="16"/>
      <c r="BM32" s="16"/>
      <c r="BN32" s="16"/>
      <c r="BO32" s="16"/>
      <c r="BP32" s="16"/>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8"/>
      <c r="DT32" s="18"/>
      <c r="DX32" s="20"/>
      <c r="DY32" s="119"/>
      <c r="DZ32" s="70"/>
    </row>
    <row r="33" spans="1:133" ht="12.75" customHeight="1">
      <c r="A33" s="80"/>
      <c r="B33" s="347" t="str">
        <f>IF($C$22-7&lt;=0,"",($C$22-7))</f>
        <v/>
      </c>
      <c r="C33" s="262"/>
      <c r="D33" s="264"/>
      <c r="E33" s="55"/>
      <c r="F33" s="55"/>
      <c r="G33" s="117"/>
      <c r="H33" s="83"/>
      <c r="I33" s="99"/>
      <c r="J33" s="57"/>
      <c r="K33" s="507" t="s">
        <v>238</v>
      </c>
      <c r="N33" s="27"/>
      <c r="O33" s="19"/>
      <c r="P33" s="100"/>
      <c r="Q33" s="128"/>
      <c r="T33" s="325" t="s">
        <v>271</v>
      </c>
      <c r="U33" s="404" t="s">
        <v>128</v>
      </c>
      <c r="V33" s="359">
        <v>1.5</v>
      </c>
      <c r="W33" s="400">
        <v>2.5</v>
      </c>
      <c r="X33" s="400">
        <v>1.5</v>
      </c>
      <c r="Y33" s="365" t="s">
        <v>110</v>
      </c>
      <c r="Z33" s="297" t="s">
        <v>112</v>
      </c>
      <c r="AA33" s="297" t="s">
        <v>112</v>
      </c>
      <c r="AB33" s="297" t="s">
        <v>112</v>
      </c>
      <c r="AC33" s="297" t="s">
        <v>112</v>
      </c>
      <c r="AD33" s="297">
        <v>0.02</v>
      </c>
      <c r="AE33" s="297">
        <v>0.75</v>
      </c>
      <c r="AF33" s="324"/>
      <c r="AG33" s="324"/>
      <c r="AH33" s="324"/>
      <c r="AT33" s="1385" t="s">
        <v>581</v>
      </c>
      <c r="AU33" s="1386" t="s">
        <v>128</v>
      </c>
      <c r="AV33" s="1386" t="s">
        <v>128</v>
      </c>
      <c r="AW33" s="1386" t="s">
        <v>128</v>
      </c>
      <c r="AX33" s="1387" t="s">
        <v>128</v>
      </c>
      <c r="AY33" s="1383">
        <v>1.5</v>
      </c>
      <c r="AZ33" s="1384">
        <v>1.5</v>
      </c>
      <c r="BA33" s="1383">
        <v>2.5</v>
      </c>
      <c r="BB33" s="1384">
        <v>2.5</v>
      </c>
      <c r="BC33" s="1383">
        <v>1.5</v>
      </c>
      <c r="BD33" s="1384">
        <v>1.5</v>
      </c>
      <c r="BE33" s="621" t="s">
        <v>110</v>
      </c>
      <c r="BF33" s="622" t="s">
        <v>112</v>
      </c>
      <c r="BG33" s="622" t="s">
        <v>112</v>
      </c>
      <c r="BH33" s="622" t="s">
        <v>112</v>
      </c>
      <c r="BI33" s="622" t="s">
        <v>112</v>
      </c>
      <c r="BL33" s="16"/>
      <c r="BM33" s="16"/>
      <c r="BN33" s="16"/>
      <c r="BO33" s="16"/>
      <c r="BP33" s="16"/>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8"/>
      <c r="DT33" s="18"/>
      <c r="DX33" s="20"/>
      <c r="DY33" s="119"/>
      <c r="DZ33" s="70"/>
    </row>
    <row r="34" spans="1:133" ht="12.75" customHeight="1">
      <c r="A34" s="80"/>
      <c r="B34" s="347" t="str">
        <f>IF($C$22-8&lt;=0,"",($C$22-8))</f>
        <v/>
      </c>
      <c r="C34" s="262"/>
      <c r="D34" s="264"/>
      <c r="E34" s="55"/>
      <c r="F34" s="55"/>
      <c r="G34" s="55"/>
      <c r="H34" s="55"/>
      <c r="I34" s="90"/>
      <c r="J34" s="57"/>
      <c r="K34" s="507" t="s">
        <v>239</v>
      </c>
      <c r="L34" s="270" t="s">
        <v>463</v>
      </c>
      <c r="M34" s="112"/>
      <c r="N34" s="113"/>
      <c r="O34" s="114"/>
      <c r="P34" s="128"/>
      <c r="Q34" s="70"/>
      <c r="T34" s="325" t="s">
        <v>272</v>
      </c>
      <c r="U34" s="404" t="s">
        <v>252</v>
      </c>
      <c r="V34" s="359">
        <v>5</v>
      </c>
      <c r="W34" s="400">
        <v>2.5</v>
      </c>
      <c r="X34" s="400">
        <v>4.5</v>
      </c>
      <c r="Y34" s="365" t="s">
        <v>110</v>
      </c>
      <c r="Z34" s="297" t="s">
        <v>110</v>
      </c>
      <c r="AA34" s="297">
        <v>40</v>
      </c>
      <c r="AB34" s="297">
        <v>40</v>
      </c>
      <c r="AC34" s="297">
        <v>40</v>
      </c>
      <c r="AD34" s="297">
        <v>0.02</v>
      </c>
      <c r="AE34" s="297">
        <v>0.75</v>
      </c>
      <c r="AF34" s="324"/>
      <c r="AG34" s="324"/>
      <c r="AH34" s="324"/>
      <c r="AJ34" s="477" t="s">
        <v>380</v>
      </c>
      <c r="AK34" s="33"/>
      <c r="AL34" s="33"/>
      <c r="AM34" s="477" t="s">
        <v>380</v>
      </c>
      <c r="AN34" s="33"/>
      <c r="AO34" s="33"/>
      <c r="AP34" s="33"/>
      <c r="AQ34" s="33"/>
      <c r="AT34" s="1385" t="s">
        <v>582</v>
      </c>
      <c r="AU34" s="1386" t="s">
        <v>252</v>
      </c>
      <c r="AV34" s="1386" t="s">
        <v>252</v>
      </c>
      <c r="AW34" s="1386" t="s">
        <v>252</v>
      </c>
      <c r="AX34" s="1387" t="s">
        <v>252</v>
      </c>
      <c r="AY34" s="1383">
        <v>5</v>
      </c>
      <c r="AZ34" s="1384">
        <v>5</v>
      </c>
      <c r="BA34" s="1383">
        <v>2.5</v>
      </c>
      <c r="BB34" s="1384">
        <v>2.5</v>
      </c>
      <c r="BC34" s="1383">
        <v>4.5</v>
      </c>
      <c r="BD34" s="1384">
        <v>4.5</v>
      </c>
      <c r="BE34" s="621" t="s">
        <v>110</v>
      </c>
      <c r="BF34" s="621" t="s">
        <v>110</v>
      </c>
      <c r="BG34" s="628">
        <v>40</v>
      </c>
      <c r="BH34" s="628">
        <v>40</v>
      </c>
      <c r="BI34" s="628">
        <v>40</v>
      </c>
      <c r="BL34" s="16"/>
      <c r="BM34" s="16"/>
      <c r="BN34" s="16"/>
      <c r="BO34" s="16"/>
      <c r="BP34" s="16"/>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8"/>
      <c r="DT34" s="18"/>
    </row>
    <row r="35" spans="1:133" ht="12.75" customHeight="1">
      <c r="A35" s="80"/>
      <c r="B35" s="347" t="str">
        <f>IF($C$22-9&lt;=0,"",($C$22-9))</f>
        <v/>
      </c>
      <c r="C35" s="262"/>
      <c r="D35" s="264"/>
      <c r="E35" s="55"/>
      <c r="F35" s="55"/>
      <c r="G35" s="110"/>
      <c r="H35" s="83"/>
      <c r="I35" s="121"/>
      <c r="J35" s="33"/>
      <c r="K35" s="507" t="s">
        <v>240</v>
      </c>
      <c r="L35" s="289"/>
      <c r="M35" s="112" t="s">
        <v>384</v>
      </c>
      <c r="N35" s="112"/>
      <c r="O35" s="127"/>
      <c r="Q35" s="129"/>
      <c r="T35" s="325" t="s">
        <v>273</v>
      </c>
      <c r="U35" s="404" t="s">
        <v>293</v>
      </c>
      <c r="V35" s="359">
        <v>4</v>
      </c>
      <c r="W35" s="400">
        <v>2.5</v>
      </c>
      <c r="X35" s="400">
        <v>4</v>
      </c>
      <c r="Y35" s="365" t="s">
        <v>110</v>
      </c>
      <c r="Z35" s="297" t="s">
        <v>112</v>
      </c>
      <c r="AA35" s="297" t="s">
        <v>112</v>
      </c>
      <c r="AB35" s="297" t="s">
        <v>112</v>
      </c>
      <c r="AC35" s="297" t="s">
        <v>112</v>
      </c>
      <c r="AD35" s="297">
        <v>0.02</v>
      </c>
      <c r="AE35" s="297">
        <v>0.75</v>
      </c>
      <c r="AF35" s="324"/>
      <c r="AG35" s="324"/>
      <c r="AH35" s="324"/>
      <c r="AJ35" s="57"/>
      <c r="AK35" s="240"/>
      <c r="AL35" s="33"/>
      <c r="AM35" s="57"/>
      <c r="AN35" s="240"/>
      <c r="AO35" s="33"/>
      <c r="AP35" s="33"/>
      <c r="AQ35" s="33"/>
      <c r="AT35" s="1385" t="s">
        <v>583</v>
      </c>
      <c r="AU35" s="1386" t="s">
        <v>293</v>
      </c>
      <c r="AV35" s="1386" t="s">
        <v>293</v>
      </c>
      <c r="AW35" s="1386" t="s">
        <v>293</v>
      </c>
      <c r="AX35" s="1387" t="s">
        <v>293</v>
      </c>
      <c r="AY35" s="1383">
        <v>4</v>
      </c>
      <c r="AZ35" s="1384">
        <v>4</v>
      </c>
      <c r="BA35" s="1383">
        <v>2.5</v>
      </c>
      <c r="BB35" s="1384">
        <v>2.5</v>
      </c>
      <c r="BC35" s="1383">
        <v>4</v>
      </c>
      <c r="BD35" s="1384">
        <v>4</v>
      </c>
      <c r="BE35" s="621" t="s">
        <v>110</v>
      </c>
      <c r="BF35" s="622" t="s">
        <v>112</v>
      </c>
      <c r="BG35" s="622" t="s">
        <v>112</v>
      </c>
      <c r="BH35" s="622" t="s">
        <v>112</v>
      </c>
      <c r="BI35" s="622" t="s">
        <v>112</v>
      </c>
      <c r="BL35" s="16"/>
      <c r="BM35" s="16"/>
      <c r="BN35" s="16"/>
      <c r="BO35" s="16"/>
      <c r="BP35" s="16"/>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8"/>
      <c r="DT35" s="18"/>
      <c r="EC35" s="44"/>
    </row>
    <row r="36" spans="1:133" ht="12.75" customHeight="1">
      <c r="A36" s="80"/>
      <c r="B36" s="347" t="str">
        <f>IF($C$22-10&lt;=0,"",($C$22-10))</f>
        <v/>
      </c>
      <c r="C36" s="262"/>
      <c r="D36" s="264"/>
      <c r="E36" s="55"/>
      <c r="F36" s="55"/>
      <c r="G36" s="55"/>
      <c r="H36" s="55"/>
      <c r="I36" s="90"/>
      <c r="K36" s="507" t="s">
        <v>241</v>
      </c>
      <c r="L36" s="294" t="s">
        <v>50</v>
      </c>
      <c r="M36" s="482" t="s">
        <v>158</v>
      </c>
      <c r="N36" s="115" t="s">
        <v>27</v>
      </c>
      <c r="O36" s="115" t="s">
        <v>34</v>
      </c>
      <c r="P36" s="128"/>
      <c r="Q36" s="129"/>
      <c r="T36" s="325" t="s">
        <v>274</v>
      </c>
      <c r="U36" s="504" t="s">
        <v>423</v>
      </c>
      <c r="V36" s="359">
        <v>8</v>
      </c>
      <c r="W36" s="400">
        <v>2.5</v>
      </c>
      <c r="X36" s="400">
        <v>4</v>
      </c>
      <c r="Y36" s="365" t="s">
        <v>110</v>
      </c>
      <c r="Z36" s="297" t="s">
        <v>110</v>
      </c>
      <c r="AA36" s="297">
        <v>160</v>
      </c>
      <c r="AB36" s="297">
        <v>160</v>
      </c>
      <c r="AC36" s="297">
        <v>100</v>
      </c>
      <c r="AD36" s="297">
        <v>0.02</v>
      </c>
      <c r="AE36" s="297">
        <v>0.75</v>
      </c>
      <c r="AF36" s="324"/>
      <c r="AG36" s="324"/>
      <c r="AH36" s="324"/>
      <c r="AJ36" s="478"/>
      <c r="AK36" s="240"/>
      <c r="AL36" s="20"/>
      <c r="AM36" s="478"/>
      <c r="AN36" s="240"/>
      <c r="AO36" s="33"/>
      <c r="AP36" s="33"/>
      <c r="AQ36" s="33"/>
      <c r="AT36" s="1385" t="s">
        <v>584</v>
      </c>
      <c r="AU36" s="1386" t="s">
        <v>423</v>
      </c>
      <c r="AV36" s="1386" t="s">
        <v>423</v>
      </c>
      <c r="AW36" s="1386" t="s">
        <v>423</v>
      </c>
      <c r="AX36" s="1387" t="s">
        <v>423</v>
      </c>
      <c r="AY36" s="1383">
        <v>8</v>
      </c>
      <c r="AZ36" s="1384">
        <v>8</v>
      </c>
      <c r="BA36" s="1383">
        <v>2.5</v>
      </c>
      <c r="BB36" s="1384">
        <v>2.5</v>
      </c>
      <c r="BC36" s="1383">
        <v>4</v>
      </c>
      <c r="BD36" s="1384">
        <v>4</v>
      </c>
      <c r="BE36" s="621" t="s">
        <v>110</v>
      </c>
      <c r="BF36" s="621" t="s">
        <v>110</v>
      </c>
      <c r="BG36" s="629">
        <v>160</v>
      </c>
      <c r="BH36" s="629">
        <v>160</v>
      </c>
      <c r="BI36" s="629">
        <v>100</v>
      </c>
      <c r="BL36" s="16"/>
      <c r="BM36" s="16"/>
      <c r="BN36" s="16"/>
      <c r="BO36" s="16"/>
      <c r="BP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8"/>
      <c r="DT36" s="18"/>
      <c r="EC36" s="44"/>
    </row>
    <row r="37" spans="1:133" ht="12.75" customHeight="1">
      <c r="A37" s="80"/>
      <c r="B37" s="347" t="str">
        <f>IF($C$22-11&lt;=0,"",($C$22-11))</f>
        <v/>
      </c>
      <c r="C37" s="262"/>
      <c r="D37" s="264"/>
      <c r="E37" s="55"/>
      <c r="F37" s="55"/>
      <c r="G37" s="55"/>
      <c r="H37" s="55"/>
      <c r="I37" s="90"/>
      <c r="K37" s="507" t="s">
        <v>242</v>
      </c>
      <c r="L37" s="483" t="s">
        <v>53</v>
      </c>
      <c r="M37" s="116" t="s">
        <v>29</v>
      </c>
      <c r="N37" s="116" t="s">
        <v>29</v>
      </c>
      <c r="O37" s="116" t="s">
        <v>29</v>
      </c>
      <c r="P37" s="128"/>
      <c r="Q37" s="129"/>
      <c r="T37" s="325" t="s">
        <v>275</v>
      </c>
      <c r="U37" s="404" t="s">
        <v>425</v>
      </c>
      <c r="V37" s="359">
        <v>5</v>
      </c>
      <c r="W37" s="400">
        <v>2</v>
      </c>
      <c r="X37" s="400">
        <v>4.5</v>
      </c>
      <c r="Y37" s="365" t="s">
        <v>110</v>
      </c>
      <c r="Z37" s="297" t="s">
        <v>110</v>
      </c>
      <c r="AA37" s="297">
        <v>160</v>
      </c>
      <c r="AB37" s="297">
        <v>160</v>
      </c>
      <c r="AC37" s="297">
        <v>100</v>
      </c>
      <c r="AD37" s="297">
        <v>0.02</v>
      </c>
      <c r="AE37" s="297">
        <v>0.75</v>
      </c>
      <c r="AF37" s="324"/>
      <c r="AG37" s="324"/>
      <c r="AH37" s="324"/>
      <c r="AJ37" s="20"/>
      <c r="AK37" s="20"/>
      <c r="AL37" s="20"/>
      <c r="AM37" s="33"/>
      <c r="AN37" s="33"/>
      <c r="AO37" s="33"/>
      <c r="AP37" s="33"/>
      <c r="AQ37" s="33"/>
      <c r="AT37" s="1385" t="s">
        <v>585</v>
      </c>
      <c r="AU37" s="1386" t="s">
        <v>425</v>
      </c>
      <c r="AV37" s="1386" t="s">
        <v>425</v>
      </c>
      <c r="AW37" s="1386" t="s">
        <v>425</v>
      </c>
      <c r="AX37" s="1387" t="s">
        <v>425</v>
      </c>
      <c r="AY37" s="1383">
        <v>5</v>
      </c>
      <c r="AZ37" s="1384">
        <v>5</v>
      </c>
      <c r="BA37" s="1383">
        <v>2</v>
      </c>
      <c r="BB37" s="1384">
        <v>2</v>
      </c>
      <c r="BC37" s="1383">
        <v>4.5</v>
      </c>
      <c r="BD37" s="1384">
        <v>4.5</v>
      </c>
      <c r="BE37" s="621" t="s">
        <v>110</v>
      </c>
      <c r="BF37" s="621" t="s">
        <v>110</v>
      </c>
      <c r="BG37" s="629">
        <v>160</v>
      </c>
      <c r="BH37" s="629">
        <v>160</v>
      </c>
      <c r="BI37" s="629">
        <v>100</v>
      </c>
      <c r="BL37" s="16"/>
      <c r="BM37" s="16"/>
      <c r="BN37" s="16"/>
      <c r="BO37" s="16"/>
      <c r="BP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8"/>
      <c r="DT37" s="18"/>
      <c r="EC37" s="44"/>
    </row>
    <row r="38" spans="1:133" ht="12.75" customHeight="1">
      <c r="A38" s="80"/>
      <c r="B38" s="350" t="str">
        <f>IF($C$22-12&lt;=0,"",($C$22-12))</f>
        <v/>
      </c>
      <c r="C38" s="262"/>
      <c r="D38" s="262"/>
      <c r="E38" s="55"/>
      <c r="F38" s="55"/>
      <c r="G38" s="55"/>
      <c r="H38" s="55"/>
      <c r="I38" s="90"/>
      <c r="K38" s="507" t="s">
        <v>243</v>
      </c>
      <c r="L38" s="118" t="s">
        <v>369</v>
      </c>
      <c r="M38" s="118" t="s">
        <v>31</v>
      </c>
      <c r="N38" s="118" t="s">
        <v>31</v>
      </c>
      <c r="O38" s="118" t="s">
        <v>33</v>
      </c>
      <c r="P38" s="128"/>
      <c r="T38" s="325" t="s">
        <v>276</v>
      </c>
      <c r="U38" s="404" t="s">
        <v>424</v>
      </c>
      <c r="V38" s="359">
        <v>3</v>
      </c>
      <c r="W38" s="400">
        <v>2</v>
      </c>
      <c r="X38" s="400">
        <v>3</v>
      </c>
      <c r="Y38" s="365" t="s">
        <v>110</v>
      </c>
      <c r="Z38" s="297" t="s">
        <v>110</v>
      </c>
      <c r="AA38" s="297" t="s">
        <v>112</v>
      </c>
      <c r="AB38" s="297" t="s">
        <v>112</v>
      </c>
      <c r="AC38" s="297" t="s">
        <v>112</v>
      </c>
      <c r="AD38" s="297">
        <v>0.02</v>
      </c>
      <c r="AE38" s="297">
        <v>0.75</v>
      </c>
      <c r="AF38" s="324"/>
      <c r="AG38" s="324"/>
      <c r="AH38" s="324"/>
      <c r="AJ38" s="181"/>
      <c r="AK38" s="25"/>
      <c r="AL38" s="33"/>
      <c r="AM38" s="57"/>
      <c r="AN38" s="25"/>
      <c r="AO38" s="33"/>
      <c r="AP38" s="33"/>
      <c r="AQ38" s="33"/>
      <c r="AT38" s="1385" t="s">
        <v>586</v>
      </c>
      <c r="AU38" s="1386" t="s">
        <v>424</v>
      </c>
      <c r="AV38" s="1386" t="s">
        <v>424</v>
      </c>
      <c r="AW38" s="1386" t="s">
        <v>424</v>
      </c>
      <c r="AX38" s="1387" t="s">
        <v>424</v>
      </c>
      <c r="AY38" s="1383">
        <v>3</v>
      </c>
      <c r="AZ38" s="1384">
        <v>3</v>
      </c>
      <c r="BA38" s="1383">
        <v>2</v>
      </c>
      <c r="BB38" s="1384">
        <v>2</v>
      </c>
      <c r="BC38" s="1383">
        <v>3</v>
      </c>
      <c r="BD38" s="1384">
        <v>3</v>
      </c>
      <c r="BE38" s="621" t="s">
        <v>110</v>
      </c>
      <c r="BF38" s="621" t="s">
        <v>110</v>
      </c>
      <c r="BG38" s="622" t="s">
        <v>112</v>
      </c>
      <c r="BH38" s="622" t="s">
        <v>112</v>
      </c>
      <c r="BI38" s="622" t="s">
        <v>112</v>
      </c>
      <c r="BL38" s="16"/>
      <c r="BM38" s="16"/>
      <c r="BN38" s="16"/>
      <c r="BO38" s="16"/>
      <c r="BP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8"/>
      <c r="DT38" s="18"/>
      <c r="EC38" s="44"/>
    </row>
    <row r="39" spans="1:133" ht="12.75" customHeight="1">
      <c r="A39" s="80"/>
      <c r="B39" s="350" t="str">
        <f>IF($C$22-13&lt;=0,"",($C$22-13))</f>
        <v/>
      </c>
      <c r="C39" s="262"/>
      <c r="D39" s="262"/>
      <c r="E39" s="55"/>
      <c r="F39" s="55"/>
      <c r="G39" s="55"/>
      <c r="H39" s="55"/>
      <c r="I39" s="90"/>
      <c r="J39" s="100" t="s">
        <v>25</v>
      </c>
      <c r="K39" s="507" t="s">
        <v>244</v>
      </c>
      <c r="L39" s="118" t="s">
        <v>372</v>
      </c>
      <c r="M39" s="118" t="s">
        <v>33</v>
      </c>
      <c r="N39" s="118" t="s">
        <v>33</v>
      </c>
      <c r="O39" s="118" t="s">
        <v>32</v>
      </c>
      <c r="P39" s="128"/>
      <c r="T39" s="342" t="s">
        <v>277</v>
      </c>
      <c r="U39" s="404" t="s">
        <v>426</v>
      </c>
      <c r="V39" s="359">
        <v>6.5</v>
      </c>
      <c r="W39" s="400">
        <v>2.5</v>
      </c>
      <c r="X39" s="400">
        <v>5.5</v>
      </c>
      <c r="Y39" s="365" t="s">
        <v>110</v>
      </c>
      <c r="Z39" s="297" t="s">
        <v>110</v>
      </c>
      <c r="AA39" s="297">
        <v>160</v>
      </c>
      <c r="AB39" s="297">
        <v>160</v>
      </c>
      <c r="AC39" s="297">
        <v>100</v>
      </c>
      <c r="AD39" s="297">
        <v>0.02</v>
      </c>
      <c r="AE39" s="297">
        <v>0.75</v>
      </c>
      <c r="AF39" s="324"/>
      <c r="AG39" s="324"/>
      <c r="AH39" s="324"/>
      <c r="AJ39" s="181"/>
      <c r="AK39" s="244"/>
      <c r="AL39" s="369"/>
      <c r="AM39" s="57"/>
      <c r="AN39" s="240"/>
      <c r="AO39" s="369"/>
      <c r="AP39" s="33"/>
      <c r="AQ39" s="33"/>
      <c r="AT39" s="1385" t="s">
        <v>587</v>
      </c>
      <c r="AU39" s="1386" t="s">
        <v>426</v>
      </c>
      <c r="AV39" s="1386" t="s">
        <v>426</v>
      </c>
      <c r="AW39" s="1386" t="s">
        <v>426</v>
      </c>
      <c r="AX39" s="1387" t="s">
        <v>426</v>
      </c>
      <c r="AY39" s="1383">
        <v>6.5</v>
      </c>
      <c r="AZ39" s="1384">
        <v>6.5</v>
      </c>
      <c r="BA39" s="1383">
        <v>2.5</v>
      </c>
      <c r="BB39" s="1384">
        <v>2.5</v>
      </c>
      <c r="BC39" s="1383">
        <v>5.5</v>
      </c>
      <c r="BD39" s="1384">
        <v>5.5</v>
      </c>
      <c r="BE39" s="621" t="s">
        <v>110</v>
      </c>
      <c r="BF39" s="621" t="s">
        <v>110</v>
      </c>
      <c r="BG39" s="629">
        <v>160</v>
      </c>
      <c r="BH39" s="629">
        <v>160</v>
      </c>
      <c r="BI39" s="629">
        <v>100</v>
      </c>
      <c r="BL39" s="16"/>
      <c r="BM39" s="16"/>
      <c r="BN39" s="16"/>
      <c r="BO39" s="16"/>
      <c r="BP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8"/>
      <c r="DT39" s="18"/>
    </row>
    <row r="40" spans="1:133" ht="12.75" customHeight="1">
      <c r="A40" s="80"/>
      <c r="B40" s="351" t="str">
        <f>IF($C$22-14&lt;=0,"",($C$22-14))</f>
        <v/>
      </c>
      <c r="C40" s="353"/>
      <c r="D40" s="353"/>
      <c r="E40" s="55"/>
      <c r="F40" s="55"/>
      <c r="G40" s="55"/>
      <c r="H40" s="55"/>
      <c r="I40" s="90"/>
      <c r="J40" s="100" t="s">
        <v>25</v>
      </c>
      <c r="K40" s="507" t="s">
        <v>245</v>
      </c>
      <c r="L40" s="124" t="s">
        <v>373</v>
      </c>
      <c r="M40" s="124" t="s">
        <v>32</v>
      </c>
      <c r="N40" s="124" t="s">
        <v>32</v>
      </c>
      <c r="O40" s="124" t="s">
        <v>32</v>
      </c>
      <c r="P40" s="25" t="s">
        <v>147</v>
      </c>
      <c r="T40" s="342" t="s">
        <v>278</v>
      </c>
      <c r="U40" s="404" t="s">
        <v>427</v>
      </c>
      <c r="V40" s="359">
        <v>6</v>
      </c>
      <c r="W40" s="400">
        <v>2.5</v>
      </c>
      <c r="X40" s="400">
        <v>5</v>
      </c>
      <c r="Y40" s="365" t="s">
        <v>110</v>
      </c>
      <c r="Z40" s="297" t="s">
        <v>110</v>
      </c>
      <c r="AA40" s="297">
        <v>160</v>
      </c>
      <c r="AB40" s="297">
        <v>160</v>
      </c>
      <c r="AC40" s="297">
        <v>100</v>
      </c>
      <c r="AD40" s="297">
        <v>0.02</v>
      </c>
      <c r="AE40" s="297">
        <v>0.75</v>
      </c>
      <c r="AF40" s="324"/>
      <c r="AG40" s="324"/>
      <c r="AH40" s="324"/>
      <c r="AJ40" s="181"/>
      <c r="AK40" s="244"/>
      <c r="AL40" s="369"/>
      <c r="AM40" s="57"/>
      <c r="AN40" s="240"/>
      <c r="AO40" s="369"/>
      <c r="AP40" s="33"/>
      <c r="AQ40" s="33"/>
      <c r="AT40" s="1385" t="s">
        <v>588</v>
      </c>
      <c r="AU40" s="1386" t="s">
        <v>427</v>
      </c>
      <c r="AV40" s="1386" t="s">
        <v>427</v>
      </c>
      <c r="AW40" s="1386" t="s">
        <v>427</v>
      </c>
      <c r="AX40" s="1387" t="s">
        <v>427</v>
      </c>
      <c r="AY40" s="1383">
        <v>6</v>
      </c>
      <c r="AZ40" s="1384">
        <v>6</v>
      </c>
      <c r="BA40" s="1383">
        <v>2.5</v>
      </c>
      <c r="BB40" s="1384">
        <v>2.5</v>
      </c>
      <c r="BC40" s="1383">
        <v>5</v>
      </c>
      <c r="BD40" s="1384">
        <v>5</v>
      </c>
      <c r="BE40" s="621" t="s">
        <v>110</v>
      </c>
      <c r="BF40" s="621" t="s">
        <v>110</v>
      </c>
      <c r="BG40" s="629">
        <v>160</v>
      </c>
      <c r="BH40" s="629">
        <v>160</v>
      </c>
      <c r="BI40" s="629">
        <v>100</v>
      </c>
      <c r="BL40" s="16"/>
      <c r="BM40" s="16"/>
      <c r="BN40" s="16"/>
      <c r="BO40" s="16"/>
      <c r="BP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8"/>
      <c r="DT40" s="18"/>
    </row>
    <row r="41" spans="1:133" ht="12.75" customHeight="1">
      <c r="A41" s="80"/>
      <c r="B41" s="55"/>
      <c r="C41" s="55"/>
      <c r="D41" s="55"/>
      <c r="E41" s="55"/>
      <c r="F41" s="55"/>
      <c r="G41" s="55"/>
      <c r="H41" s="55"/>
      <c r="I41" s="90"/>
      <c r="J41" s="100" t="s">
        <v>25</v>
      </c>
      <c r="K41" s="507" t="s">
        <v>246</v>
      </c>
      <c r="L41" s="27" t="s">
        <v>56</v>
      </c>
      <c r="M41" s="25" t="str">
        <f>IF(OR($M$23="III",$M$23="IV"),"",IF($C$55&lt;0.067,"A",IF(AND($C$55&gt;=0.067,$C$55&lt;0.133),"B",IF(AND($C$55&gt;=0.133,$C$55&lt;0.2),"C",IF(AND($C$55&gt;=0.2,$C$13&lt;0.75),"D",IF((AND($C$55&gt;=0.2,$C$13&gt;=0.75)),"E"))))))</f>
        <v/>
      </c>
      <c r="N41" s="25" t="str">
        <f>IF(OR($M$23="I",$M$23="II",$M$23="IV"),"",IF($C$55&lt;0.067,"A",IF(AND($C$55&gt;=0.067,$C$55&lt;0.133),"B",IF(AND($C$55&gt;=0.133,$C$55&lt;0.2),"C",IF(AND($C$55&gt;=0.2,$C$13&lt;0.75),"D",IF((AND($C$55&gt;=0.2,$C$13&gt;=0.75)),"E"))))))</f>
        <v>A</v>
      </c>
      <c r="O41" s="25" t="str">
        <f>IF(OR($M$23="I",$M$23="II",$M$23="III"),"",IF($C$55&lt;0.067,"A",IF(AND($C$55&gt;=0.067,$C$55&lt;0.133),"C",IF(AND($C$55&gt;=0.133,$C$55&lt;0.2),"D",IF(AND($C$55&gt;=0.2,$C$13&lt;0.75),"D",IF((AND($C$55&gt;=0.2,$C$13&gt;=0.75)),"F"))))))</f>
        <v/>
      </c>
      <c r="P41" s="126">
        <f>IF($C$60="A",1,IF($C$60="B",2,IF($C$60="C",3,IF($C$60="D",4,IF($C$60="E",5,IF($C$60="F",6))))))</f>
        <v>1</v>
      </c>
      <c r="T41" s="325" t="s">
        <v>279</v>
      </c>
      <c r="U41" s="405" t="s">
        <v>428</v>
      </c>
      <c r="V41" s="361">
        <v>5</v>
      </c>
      <c r="W41" s="400">
        <v>2.5</v>
      </c>
      <c r="X41" s="399">
        <v>4.5</v>
      </c>
      <c r="Y41" s="364" t="s">
        <v>110</v>
      </c>
      <c r="Z41" s="298" t="s">
        <v>110</v>
      </c>
      <c r="AA41" s="298" t="s">
        <v>112</v>
      </c>
      <c r="AB41" s="298" t="s">
        <v>112</v>
      </c>
      <c r="AC41" s="298" t="s">
        <v>112</v>
      </c>
      <c r="AD41" s="298">
        <v>0.02</v>
      </c>
      <c r="AE41" s="298">
        <v>0.75</v>
      </c>
      <c r="AF41" s="324"/>
      <c r="AG41" s="324"/>
      <c r="AH41" s="324"/>
      <c r="AJ41" s="100"/>
      <c r="AK41" s="20"/>
      <c r="AL41" s="33"/>
      <c r="AM41" s="100"/>
      <c r="AN41" s="33"/>
      <c r="AO41" s="33"/>
      <c r="AP41" s="33"/>
      <c r="AQ41" s="33"/>
      <c r="AT41" s="1385" t="s">
        <v>589</v>
      </c>
      <c r="AU41" s="1386" t="s">
        <v>428</v>
      </c>
      <c r="AV41" s="1386" t="s">
        <v>428</v>
      </c>
      <c r="AW41" s="1386" t="s">
        <v>428</v>
      </c>
      <c r="AX41" s="1387" t="s">
        <v>428</v>
      </c>
      <c r="AY41" s="1383">
        <v>5</v>
      </c>
      <c r="AZ41" s="1384">
        <v>5</v>
      </c>
      <c r="BA41" s="1383">
        <v>2.5</v>
      </c>
      <c r="BB41" s="1384">
        <v>2.5</v>
      </c>
      <c r="BC41" s="1383">
        <v>4.5</v>
      </c>
      <c r="BD41" s="1384">
        <v>4.5</v>
      </c>
      <c r="BE41" s="621" t="s">
        <v>110</v>
      </c>
      <c r="BF41" s="621" t="s">
        <v>110</v>
      </c>
      <c r="BG41" s="622" t="s">
        <v>112</v>
      </c>
      <c r="BH41" s="622" t="s">
        <v>112</v>
      </c>
      <c r="BI41" s="622" t="s">
        <v>112</v>
      </c>
      <c r="BL41" s="16"/>
      <c r="BM41" s="16"/>
      <c r="BN41" s="16"/>
      <c r="BO41" s="16"/>
      <c r="BP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8"/>
      <c r="DT41" s="18"/>
    </row>
    <row r="42" spans="1:133" ht="12.75" customHeight="1">
      <c r="A42" s="80"/>
      <c r="B42" s="55"/>
      <c r="C42" s="68" t="s">
        <v>153</v>
      </c>
      <c r="D42" s="146">
        <f>SUM($D$26:$D$40)</f>
        <v>27.9</v>
      </c>
      <c r="E42" s="76" t="s">
        <v>453</v>
      </c>
      <c r="F42" s="55"/>
      <c r="G42" s="55"/>
      <c r="H42" s="123"/>
      <c r="I42" s="90"/>
      <c r="J42" s="100" t="s">
        <v>25</v>
      </c>
      <c r="K42" s="324" t="s">
        <v>247</v>
      </c>
      <c r="N42" s="27"/>
      <c r="O42" s="136" t="s">
        <v>161</v>
      </c>
      <c r="P42" s="126">
        <f>MAX($P$32,$P$41)</f>
        <v>1</v>
      </c>
      <c r="T42" s="325" t="s">
        <v>280</v>
      </c>
      <c r="U42" s="404" t="s">
        <v>129</v>
      </c>
      <c r="V42" s="361">
        <v>5.5</v>
      </c>
      <c r="W42" s="400">
        <v>2.5</v>
      </c>
      <c r="X42" s="399">
        <v>4</v>
      </c>
      <c r="Y42" s="364" t="s">
        <v>110</v>
      </c>
      <c r="Z42" s="298" t="s">
        <v>110</v>
      </c>
      <c r="AA42" s="298">
        <v>160</v>
      </c>
      <c r="AB42" s="298">
        <v>160</v>
      </c>
      <c r="AC42" s="298">
        <v>100</v>
      </c>
      <c r="AD42" s="298">
        <v>0.02</v>
      </c>
      <c r="AE42" s="298">
        <v>0.75</v>
      </c>
      <c r="AF42" s="324"/>
      <c r="AG42" s="324"/>
      <c r="AH42" s="324"/>
      <c r="AJ42" s="57"/>
      <c r="AK42" s="240"/>
      <c r="AL42" s="20"/>
      <c r="AM42" s="57"/>
      <c r="AN42" s="240"/>
      <c r="AO42" s="33"/>
      <c r="AP42" s="33"/>
      <c r="AQ42" s="33"/>
      <c r="AT42" s="1385" t="s">
        <v>590</v>
      </c>
      <c r="AU42" s="1386" t="s">
        <v>129</v>
      </c>
      <c r="AV42" s="1386" t="s">
        <v>129</v>
      </c>
      <c r="AW42" s="1386" t="s">
        <v>129</v>
      </c>
      <c r="AX42" s="1387" t="s">
        <v>129</v>
      </c>
      <c r="AY42" s="1383">
        <v>5.5</v>
      </c>
      <c r="AZ42" s="1384">
        <v>5.5</v>
      </c>
      <c r="BA42" s="1383">
        <v>2.5</v>
      </c>
      <c r="BB42" s="1384">
        <v>2.5</v>
      </c>
      <c r="BC42" s="1383">
        <v>4</v>
      </c>
      <c r="BD42" s="1384">
        <v>4</v>
      </c>
      <c r="BE42" s="621" t="s">
        <v>110</v>
      </c>
      <c r="BF42" s="621" t="s">
        <v>110</v>
      </c>
      <c r="BG42" s="629">
        <v>160</v>
      </c>
      <c r="BH42" s="629">
        <v>160</v>
      </c>
      <c r="BI42" s="629">
        <v>100</v>
      </c>
      <c r="BL42" s="16"/>
      <c r="BM42" s="16"/>
      <c r="BN42" s="16"/>
      <c r="BO42" s="16"/>
      <c r="BP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8"/>
      <c r="DT42" s="18"/>
    </row>
    <row r="43" spans="1:133" ht="12.75" customHeight="1">
      <c r="A43" s="54" t="s">
        <v>74</v>
      </c>
      <c r="B43" s="55"/>
      <c r="C43" s="55"/>
      <c r="D43" s="55"/>
      <c r="E43" s="55"/>
      <c r="F43" s="55"/>
      <c r="G43" s="110"/>
      <c r="H43" s="123"/>
      <c r="I43" s="90"/>
      <c r="J43" s="100" t="s">
        <v>25</v>
      </c>
      <c r="K43" s="324" t="s">
        <v>248</v>
      </c>
      <c r="N43" s="27"/>
      <c r="O43" s="136" t="s">
        <v>84</v>
      </c>
      <c r="P43" s="126" t="str">
        <f>IF($P$42=1,"A",IF($P$42=2,"B",IF($P$42=3,"C",IF($P$42=4,"D",IF($P$42=5,"E",IF($P$42=6,"F"))))))</f>
        <v>A</v>
      </c>
      <c r="T43" s="325" t="s">
        <v>281</v>
      </c>
      <c r="U43" s="404" t="s">
        <v>130</v>
      </c>
      <c r="V43" s="359">
        <v>4</v>
      </c>
      <c r="W43" s="400">
        <v>2.5</v>
      </c>
      <c r="X43" s="400">
        <v>4</v>
      </c>
      <c r="Y43" s="365" t="s">
        <v>110</v>
      </c>
      <c r="Z43" s="297" t="s">
        <v>110</v>
      </c>
      <c r="AA43" s="297" t="s">
        <v>112</v>
      </c>
      <c r="AB43" s="297" t="s">
        <v>112</v>
      </c>
      <c r="AC43" s="297" t="s">
        <v>112</v>
      </c>
      <c r="AD43" s="297">
        <v>0.02</v>
      </c>
      <c r="AE43" s="297">
        <v>0.75</v>
      </c>
      <c r="AF43" s="324"/>
      <c r="AG43" s="324"/>
      <c r="AH43" s="324"/>
      <c r="AJ43" s="57"/>
      <c r="AK43" s="240"/>
      <c r="AL43" s="20"/>
      <c r="AM43" s="57"/>
      <c r="AN43" s="240"/>
      <c r="AO43" s="33"/>
      <c r="AP43" s="33"/>
      <c r="AQ43" s="33"/>
      <c r="AT43" s="1385" t="s">
        <v>591</v>
      </c>
      <c r="AU43" s="1386" t="s">
        <v>130</v>
      </c>
      <c r="AV43" s="1386" t="s">
        <v>130</v>
      </c>
      <c r="AW43" s="1386" t="s">
        <v>130</v>
      </c>
      <c r="AX43" s="1387" t="s">
        <v>130</v>
      </c>
      <c r="AY43" s="1383">
        <v>4</v>
      </c>
      <c r="AZ43" s="1384">
        <v>4</v>
      </c>
      <c r="BA43" s="1383">
        <v>2.5</v>
      </c>
      <c r="BB43" s="1384">
        <v>2.5</v>
      </c>
      <c r="BC43" s="1383">
        <v>4</v>
      </c>
      <c r="BD43" s="1384">
        <v>4</v>
      </c>
      <c r="BE43" s="621" t="s">
        <v>110</v>
      </c>
      <c r="BF43" s="621" t="s">
        <v>110</v>
      </c>
      <c r="BG43" s="631" t="s">
        <v>112</v>
      </c>
      <c r="BH43" s="631" t="s">
        <v>112</v>
      </c>
      <c r="BI43" s="631" t="s">
        <v>112</v>
      </c>
      <c r="BL43" s="16"/>
      <c r="BM43" s="16"/>
      <c r="BN43" s="16"/>
      <c r="BO43" s="16"/>
      <c r="BP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8"/>
      <c r="DT43" s="18"/>
    </row>
    <row r="44" spans="1:133" ht="12.75" customHeight="1">
      <c r="A44" s="80"/>
      <c r="B44" s="55"/>
      <c r="C44" s="55"/>
      <c r="D44" s="55"/>
      <c r="E44" s="55"/>
      <c r="F44" s="55"/>
      <c r="G44" s="110"/>
      <c r="H44" s="83"/>
      <c r="I44" s="121"/>
      <c r="J44" s="100" t="s">
        <v>25</v>
      </c>
      <c r="K44" s="324" t="s">
        <v>250</v>
      </c>
      <c r="T44" s="325" t="s">
        <v>282</v>
      </c>
      <c r="U44" s="404" t="s">
        <v>131</v>
      </c>
      <c r="V44" s="359">
        <v>2</v>
      </c>
      <c r="W44" s="400">
        <v>2.5</v>
      </c>
      <c r="X44" s="400">
        <v>2</v>
      </c>
      <c r="Y44" s="365" t="s">
        <v>110</v>
      </c>
      <c r="Z44" s="297">
        <v>160</v>
      </c>
      <c r="AA44" s="297" t="s">
        <v>112</v>
      </c>
      <c r="AB44" s="297" t="s">
        <v>112</v>
      </c>
      <c r="AC44" s="297" t="s">
        <v>112</v>
      </c>
      <c r="AD44" s="297">
        <v>0.02</v>
      </c>
      <c r="AE44" s="297">
        <v>0.75</v>
      </c>
      <c r="AF44" s="324"/>
      <c r="AG44" s="324"/>
      <c r="AH44" s="324"/>
      <c r="AT44" s="1385" t="s">
        <v>592</v>
      </c>
      <c r="AU44" s="1386" t="s">
        <v>131</v>
      </c>
      <c r="AV44" s="1386" t="s">
        <v>131</v>
      </c>
      <c r="AW44" s="1386" t="s">
        <v>131</v>
      </c>
      <c r="AX44" s="1387" t="s">
        <v>131</v>
      </c>
      <c r="AY44" s="1383">
        <v>2</v>
      </c>
      <c r="AZ44" s="1384">
        <v>2</v>
      </c>
      <c r="BA44" s="1383">
        <v>2.5</v>
      </c>
      <c r="BB44" s="1384">
        <v>2.5</v>
      </c>
      <c r="BC44" s="1383">
        <v>2</v>
      </c>
      <c r="BD44" s="1384">
        <v>2</v>
      </c>
      <c r="BE44" s="630" t="s">
        <v>110</v>
      </c>
      <c r="BF44" s="596">
        <v>160</v>
      </c>
      <c r="BG44" s="631" t="s">
        <v>112</v>
      </c>
      <c r="BH44" s="631" t="s">
        <v>112</v>
      </c>
      <c r="BI44" s="631" t="s">
        <v>112</v>
      </c>
      <c r="BL44" s="16"/>
      <c r="BM44" s="16"/>
      <c r="BN44" s="16"/>
      <c r="BO44" s="16"/>
      <c r="BP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8"/>
      <c r="DT44" s="19"/>
      <c r="EA44" s="77"/>
      <c r="EB44" s="77"/>
      <c r="EC44" s="44"/>
    </row>
    <row r="45" spans="1:133" ht="12.75" customHeight="1">
      <c r="A45" s="54" t="s">
        <v>81</v>
      </c>
      <c r="B45" s="55"/>
      <c r="C45" s="120"/>
      <c r="D45" s="95"/>
      <c r="E45" s="87"/>
      <c r="F45" s="55"/>
      <c r="G45" s="55"/>
      <c r="H45" s="55"/>
      <c r="I45" s="90"/>
      <c r="J45" s="100" t="s">
        <v>25</v>
      </c>
      <c r="K45" s="507" t="s">
        <v>251</v>
      </c>
      <c r="T45" s="325" t="s">
        <v>283</v>
      </c>
      <c r="U45" s="404" t="s">
        <v>132</v>
      </c>
      <c r="V45" s="359">
        <v>2</v>
      </c>
      <c r="W45" s="400">
        <v>2.5</v>
      </c>
      <c r="X45" s="400">
        <v>2</v>
      </c>
      <c r="Y45" s="365" t="s">
        <v>110</v>
      </c>
      <c r="Z45" s="297" t="s">
        <v>112</v>
      </c>
      <c r="AA45" s="297" t="s">
        <v>112</v>
      </c>
      <c r="AB45" s="297" t="s">
        <v>112</v>
      </c>
      <c r="AC45" s="297" t="s">
        <v>112</v>
      </c>
      <c r="AD45" s="297">
        <v>0.02</v>
      </c>
      <c r="AE45" s="297">
        <v>0.75</v>
      </c>
      <c r="AF45" s="324"/>
      <c r="AG45" s="324"/>
      <c r="AH45" s="324"/>
      <c r="AT45" s="1385" t="s">
        <v>593</v>
      </c>
      <c r="AU45" s="1386" t="s">
        <v>132</v>
      </c>
      <c r="AV45" s="1386" t="s">
        <v>132</v>
      </c>
      <c r="AW45" s="1386" t="s">
        <v>132</v>
      </c>
      <c r="AX45" s="1387" t="s">
        <v>132</v>
      </c>
      <c r="AY45" s="1383">
        <v>2</v>
      </c>
      <c r="AZ45" s="1384">
        <v>2</v>
      </c>
      <c r="BA45" s="1383">
        <v>2.5</v>
      </c>
      <c r="BB45" s="1384">
        <v>2.5</v>
      </c>
      <c r="BC45" s="1383">
        <v>2</v>
      </c>
      <c r="BD45" s="1384">
        <v>2</v>
      </c>
      <c r="BE45" s="611" t="s">
        <v>110</v>
      </c>
      <c r="BF45" s="595" t="s">
        <v>112</v>
      </c>
      <c r="BG45" s="595" t="s">
        <v>112</v>
      </c>
      <c r="BH45" s="595" t="s">
        <v>112</v>
      </c>
      <c r="BI45" s="595" t="s">
        <v>112</v>
      </c>
      <c r="BL45" s="16"/>
      <c r="BM45" s="16"/>
      <c r="BN45" s="16"/>
      <c r="BO45" s="16"/>
      <c r="BP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8"/>
      <c r="DT45" s="19"/>
      <c r="EA45" s="77"/>
      <c r="EB45" s="77"/>
      <c r="EC45" s="44"/>
    </row>
    <row r="46" spans="1:133" ht="12.75" customHeight="1">
      <c r="A46" s="85"/>
      <c r="B46" s="64" t="s">
        <v>43</v>
      </c>
      <c r="C46" s="96">
        <f>IF($C$10="A",$R$6,IF($C$10="B",$R$7,IF($C$10="C",$R$8,IF($C$10="D",$R$9,IF($C$10="E",$R$10,IF($C$10="F",$R$11))))))</f>
        <v>1</v>
      </c>
      <c r="D46" s="55" t="s">
        <v>454</v>
      </c>
      <c r="E46" s="97"/>
      <c r="F46" s="55"/>
      <c r="G46" s="55"/>
      <c r="H46" s="83"/>
      <c r="I46" s="90"/>
      <c r="J46" s="100" t="s">
        <v>25</v>
      </c>
      <c r="K46" s="47" t="s">
        <v>414</v>
      </c>
      <c r="L46" s="111" t="s">
        <v>466</v>
      </c>
      <c r="M46" s="112"/>
      <c r="N46" s="112"/>
      <c r="O46" s="127"/>
      <c r="T46" s="342" t="s">
        <v>284</v>
      </c>
      <c r="U46" s="404" t="s">
        <v>133</v>
      </c>
      <c r="V46" s="359">
        <v>1.5</v>
      </c>
      <c r="W46" s="400">
        <v>2.5</v>
      </c>
      <c r="X46" s="400">
        <v>1.25</v>
      </c>
      <c r="Y46" s="365" t="s">
        <v>110</v>
      </c>
      <c r="Z46" s="297" t="s">
        <v>112</v>
      </c>
      <c r="AA46" s="297" t="s">
        <v>112</v>
      </c>
      <c r="AB46" s="297" t="s">
        <v>112</v>
      </c>
      <c r="AC46" s="297" t="s">
        <v>112</v>
      </c>
      <c r="AD46" s="297">
        <v>0.02</v>
      </c>
      <c r="AE46" s="297">
        <v>0.75</v>
      </c>
      <c r="AF46" s="324"/>
      <c r="AG46" s="324"/>
      <c r="AH46" s="324"/>
      <c r="AT46" s="1385" t="s">
        <v>594</v>
      </c>
      <c r="AU46" s="1386" t="s">
        <v>133</v>
      </c>
      <c r="AV46" s="1386" t="s">
        <v>133</v>
      </c>
      <c r="AW46" s="1386" t="s">
        <v>133</v>
      </c>
      <c r="AX46" s="1387" t="s">
        <v>133</v>
      </c>
      <c r="AY46" s="1383">
        <v>1.5</v>
      </c>
      <c r="AZ46" s="1384">
        <v>1.5</v>
      </c>
      <c r="BA46" s="1383">
        <v>2.5</v>
      </c>
      <c r="BB46" s="1384">
        <v>2.5</v>
      </c>
      <c r="BC46" s="1383">
        <v>1.25</v>
      </c>
      <c r="BD46" s="1384">
        <v>1.25</v>
      </c>
      <c r="BE46" s="611" t="s">
        <v>110</v>
      </c>
      <c r="BF46" s="595" t="s">
        <v>112</v>
      </c>
      <c r="BG46" s="595" t="s">
        <v>112</v>
      </c>
      <c r="BH46" s="595" t="s">
        <v>112</v>
      </c>
      <c r="BI46" s="595" t="s">
        <v>112</v>
      </c>
      <c r="BL46" s="16"/>
      <c r="BM46" s="16"/>
      <c r="BN46" s="16"/>
      <c r="BO46" s="16"/>
      <c r="BP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8"/>
      <c r="DT46" s="19"/>
      <c r="EA46" s="77"/>
      <c r="EB46" s="77"/>
      <c r="EC46" s="44"/>
    </row>
    <row r="47" spans="1:133" ht="12.75" customHeight="1">
      <c r="A47" s="86"/>
      <c r="B47" s="64" t="s">
        <v>44</v>
      </c>
      <c r="C47" s="101">
        <f>IF($C$10="A",$R$16,IF($C$10="B",$R$17,IF($C$10="C",$R$18,IF($C$10="D",$R$19,IF($C$10="E",$R$20,IF($C$10="F",$R$21))))))</f>
        <v>1</v>
      </c>
      <c r="D47" s="55" t="s">
        <v>455</v>
      </c>
      <c r="E47" s="97"/>
      <c r="F47" s="55"/>
      <c r="G47" s="105"/>
      <c r="H47" s="83"/>
      <c r="I47" s="90"/>
      <c r="J47" s="100" t="s">
        <v>25</v>
      </c>
      <c r="K47" s="507" t="s">
        <v>415</v>
      </c>
      <c r="L47" s="111" t="s">
        <v>160</v>
      </c>
      <c r="M47" s="112"/>
      <c r="N47" s="112"/>
      <c r="O47" s="127"/>
      <c r="T47" s="342" t="s">
        <v>285</v>
      </c>
      <c r="U47" s="405" t="s">
        <v>254</v>
      </c>
      <c r="V47" s="540">
        <v>1.5</v>
      </c>
      <c r="W47" s="400">
        <v>2.5</v>
      </c>
      <c r="X47" s="400">
        <v>1.75</v>
      </c>
      <c r="Y47" s="365" t="s">
        <v>110</v>
      </c>
      <c r="Z47" s="297" t="s">
        <v>112</v>
      </c>
      <c r="AA47" s="297" t="s">
        <v>112</v>
      </c>
      <c r="AB47" s="297" t="s">
        <v>112</v>
      </c>
      <c r="AC47" s="297" t="s">
        <v>112</v>
      </c>
      <c r="AD47" s="297">
        <v>0.02</v>
      </c>
      <c r="AE47" s="297">
        <v>0.75</v>
      </c>
      <c r="AF47" s="324"/>
      <c r="AG47" s="324"/>
      <c r="AH47" s="324"/>
      <c r="AT47" s="1385" t="s">
        <v>595</v>
      </c>
      <c r="AU47" s="1386" t="s">
        <v>254</v>
      </c>
      <c r="AV47" s="1386" t="s">
        <v>254</v>
      </c>
      <c r="AW47" s="1386" t="s">
        <v>254</v>
      </c>
      <c r="AX47" s="1387" t="s">
        <v>254</v>
      </c>
      <c r="AY47" s="1383">
        <v>1.5</v>
      </c>
      <c r="AZ47" s="1384">
        <v>1.5</v>
      </c>
      <c r="BA47" s="1383">
        <v>2.5</v>
      </c>
      <c r="BB47" s="1384">
        <v>2.5</v>
      </c>
      <c r="BC47" s="1383">
        <v>1.75</v>
      </c>
      <c r="BD47" s="1384">
        <v>1.75</v>
      </c>
      <c r="BE47" s="611" t="s">
        <v>110</v>
      </c>
      <c r="BF47" s="595" t="s">
        <v>112</v>
      </c>
      <c r="BG47" s="595" t="s">
        <v>112</v>
      </c>
      <c r="BH47" s="595" t="s">
        <v>112</v>
      </c>
      <c r="BI47" s="595" t="s">
        <v>112</v>
      </c>
      <c r="BL47" s="16"/>
      <c r="BM47" s="16"/>
      <c r="BN47" s="16"/>
      <c r="BO47" s="16"/>
      <c r="BP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8"/>
      <c r="DT47" s="19"/>
      <c r="DX47" s="20"/>
      <c r="DY47" s="27"/>
      <c r="DZ47" s="100"/>
      <c r="EA47" s="77"/>
      <c r="EB47" s="77"/>
      <c r="EC47" s="44"/>
    </row>
    <row r="48" spans="1:133" ht="12.75" customHeight="1">
      <c r="A48" s="293" t="str">
        <f>IF(OR($C$46="Note b",$C$47="Note b"),"  Site-specific geotechnical investigation and dynamic response analysis must be performed!","")</f>
        <v/>
      </c>
      <c r="B48" s="20"/>
      <c r="C48" s="20"/>
      <c r="D48" s="20"/>
      <c r="E48" s="20"/>
      <c r="F48" s="55"/>
      <c r="G48" s="81"/>
      <c r="H48" s="120"/>
      <c r="I48" s="90"/>
      <c r="J48" s="25"/>
      <c r="K48" s="47" t="s">
        <v>416</v>
      </c>
      <c r="L48" s="270" t="s">
        <v>217</v>
      </c>
      <c r="M48" s="328"/>
      <c r="N48" s="278"/>
      <c r="O48" s="46" t="s">
        <v>218</v>
      </c>
      <c r="T48" s="342" t="s">
        <v>286</v>
      </c>
      <c r="U48" s="504" t="s">
        <v>429</v>
      </c>
      <c r="V48" s="361">
        <v>7</v>
      </c>
      <c r="W48" s="400">
        <v>2.5</v>
      </c>
      <c r="X48" s="399">
        <v>4.5</v>
      </c>
      <c r="Y48" s="364" t="s">
        <v>110</v>
      </c>
      <c r="Z48" s="298" t="s">
        <v>110</v>
      </c>
      <c r="AA48" s="297">
        <v>65</v>
      </c>
      <c r="AB48" s="297">
        <v>65</v>
      </c>
      <c r="AC48" s="297">
        <v>65</v>
      </c>
      <c r="AD48" s="298">
        <v>0.02</v>
      </c>
      <c r="AE48" s="298">
        <v>0.75</v>
      </c>
      <c r="AF48" s="324"/>
      <c r="AG48" s="324"/>
      <c r="AH48" s="324"/>
      <c r="AT48" s="1385" t="s">
        <v>596</v>
      </c>
      <c r="AU48" s="1386" t="s">
        <v>429</v>
      </c>
      <c r="AV48" s="1386" t="s">
        <v>429</v>
      </c>
      <c r="AW48" s="1386" t="s">
        <v>429</v>
      </c>
      <c r="AX48" s="1387" t="s">
        <v>429</v>
      </c>
      <c r="AY48" s="1383">
        <v>7</v>
      </c>
      <c r="AZ48" s="1384">
        <v>7</v>
      </c>
      <c r="BA48" s="1383">
        <v>2.5</v>
      </c>
      <c r="BB48" s="1384">
        <v>2.5</v>
      </c>
      <c r="BC48" s="1383">
        <v>4.5</v>
      </c>
      <c r="BD48" s="1384">
        <v>4.5</v>
      </c>
      <c r="BE48" s="611" t="s">
        <v>110</v>
      </c>
      <c r="BF48" s="594" t="s">
        <v>110</v>
      </c>
      <c r="BG48" s="596">
        <v>65</v>
      </c>
      <c r="BH48" s="596">
        <v>65</v>
      </c>
      <c r="BI48" s="596">
        <v>65</v>
      </c>
      <c r="BL48" s="16"/>
      <c r="BM48" s="16"/>
      <c r="BN48" s="16"/>
      <c r="BO48" s="16"/>
      <c r="BP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8"/>
      <c r="DT48" s="19"/>
      <c r="DX48" s="20"/>
      <c r="DY48" s="27"/>
      <c r="DZ48" s="100"/>
      <c r="EA48" s="77"/>
      <c r="EB48" s="77"/>
      <c r="EC48" s="44"/>
    </row>
    <row r="49" spans="1:133" ht="12.75" customHeight="1">
      <c r="A49" s="54" t="s">
        <v>255</v>
      </c>
      <c r="B49" s="55"/>
      <c r="C49" s="94"/>
      <c r="D49" s="81"/>
      <c r="E49" s="105"/>
      <c r="F49" s="55"/>
      <c r="G49" s="20"/>
      <c r="H49" s="20"/>
      <c r="I49" s="102"/>
      <c r="J49" s="25"/>
      <c r="K49" s="324" t="s">
        <v>265</v>
      </c>
      <c r="L49" s="274" t="s">
        <v>2</v>
      </c>
      <c r="M49" s="329"/>
      <c r="N49" s="330"/>
      <c r="O49" s="294" t="s">
        <v>219</v>
      </c>
      <c r="T49" s="342" t="s">
        <v>287</v>
      </c>
      <c r="U49" s="504" t="s">
        <v>430</v>
      </c>
      <c r="V49" s="361">
        <v>7</v>
      </c>
      <c r="W49" s="400">
        <v>2.5</v>
      </c>
      <c r="X49" s="399">
        <v>4.5</v>
      </c>
      <c r="Y49" s="364" t="s">
        <v>110</v>
      </c>
      <c r="Z49" s="298" t="s">
        <v>110</v>
      </c>
      <c r="AA49" s="298">
        <v>65</v>
      </c>
      <c r="AB49" s="298">
        <v>65</v>
      </c>
      <c r="AC49" s="298">
        <v>65</v>
      </c>
      <c r="AD49" s="298">
        <v>0.02</v>
      </c>
      <c r="AE49" s="298">
        <v>0.75</v>
      </c>
      <c r="AH49" s="324"/>
      <c r="AT49" s="1385" t="s">
        <v>597</v>
      </c>
      <c r="AU49" s="1386" t="s">
        <v>430</v>
      </c>
      <c r="AV49" s="1386" t="s">
        <v>430</v>
      </c>
      <c r="AW49" s="1386" t="s">
        <v>430</v>
      </c>
      <c r="AX49" s="1387" t="s">
        <v>430</v>
      </c>
      <c r="AY49" s="1383">
        <v>7</v>
      </c>
      <c r="AZ49" s="1384">
        <v>7</v>
      </c>
      <c r="BA49" s="1383">
        <v>2.5</v>
      </c>
      <c r="BB49" s="1384">
        <v>2.5</v>
      </c>
      <c r="BC49" s="1383">
        <v>4.5</v>
      </c>
      <c r="BD49" s="1384">
        <v>4.5</v>
      </c>
      <c r="BE49" s="611" t="s">
        <v>110</v>
      </c>
      <c r="BF49" s="594" t="s">
        <v>110</v>
      </c>
      <c r="BG49" s="596">
        <v>65</v>
      </c>
      <c r="BH49" s="596">
        <v>65</v>
      </c>
      <c r="BI49" s="596">
        <v>65</v>
      </c>
      <c r="BL49" s="16"/>
      <c r="BM49" s="16"/>
      <c r="BN49" s="16"/>
      <c r="BO49" s="16"/>
      <c r="BP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8"/>
      <c r="DT49" s="19"/>
      <c r="DX49" s="20"/>
      <c r="DY49" s="27"/>
      <c r="DZ49" s="100"/>
      <c r="EA49" s="77"/>
      <c r="EB49" s="77"/>
      <c r="EC49" s="44"/>
    </row>
    <row r="50" spans="1:133" ht="12.75" customHeight="1">
      <c r="A50" s="85"/>
      <c r="B50" s="64" t="s">
        <v>45</v>
      </c>
      <c r="C50" s="107">
        <f>IF($C$46="Note b","N.A.",$C$46*$C$12)</f>
        <v>0.188</v>
      </c>
      <c r="D50" s="55" t="s">
        <v>458</v>
      </c>
      <c r="E50" s="105"/>
      <c r="F50" s="55"/>
      <c r="G50" s="81"/>
      <c r="H50" s="55"/>
      <c r="I50" s="130"/>
      <c r="J50" s="25"/>
      <c r="K50" s="324" t="s">
        <v>266</v>
      </c>
      <c r="L50" s="331" t="s">
        <v>1</v>
      </c>
      <c r="M50" s="332"/>
      <c r="N50" s="333"/>
      <c r="O50" s="116">
        <v>1.4</v>
      </c>
      <c r="T50" s="342" t="s">
        <v>288</v>
      </c>
      <c r="U50" s="404" t="s">
        <v>264</v>
      </c>
      <c r="V50" s="361">
        <v>2.5</v>
      </c>
      <c r="W50" s="400">
        <v>2.5</v>
      </c>
      <c r="X50" s="399">
        <v>2.5</v>
      </c>
      <c r="Y50" s="364" t="s">
        <v>110</v>
      </c>
      <c r="Z50" s="298" t="s">
        <v>110</v>
      </c>
      <c r="AA50" s="298">
        <v>35</v>
      </c>
      <c r="AB50" s="298" t="s">
        <v>112</v>
      </c>
      <c r="AC50" s="298" t="s">
        <v>112</v>
      </c>
      <c r="AD50" s="298">
        <v>0.02</v>
      </c>
      <c r="AE50" s="298">
        <v>0.75</v>
      </c>
      <c r="AH50" s="303"/>
      <c r="AT50" s="1385" t="s">
        <v>522</v>
      </c>
      <c r="AU50" s="1386" t="s">
        <v>264</v>
      </c>
      <c r="AV50" s="1386" t="s">
        <v>264</v>
      </c>
      <c r="AW50" s="1386" t="s">
        <v>264</v>
      </c>
      <c r="AX50" s="1387" t="s">
        <v>264</v>
      </c>
      <c r="AY50" s="1383">
        <v>2.5</v>
      </c>
      <c r="AZ50" s="1384">
        <v>2.5</v>
      </c>
      <c r="BA50" s="1383">
        <v>2.5</v>
      </c>
      <c r="BB50" s="1384">
        <v>2.5</v>
      </c>
      <c r="BC50" s="1383">
        <v>2.5</v>
      </c>
      <c r="BD50" s="1384">
        <v>2.5</v>
      </c>
      <c r="BE50" s="627" t="s">
        <v>110</v>
      </c>
      <c r="BF50" s="627" t="s">
        <v>110</v>
      </c>
      <c r="BG50" s="628">
        <v>35</v>
      </c>
      <c r="BH50" s="632" t="s">
        <v>112</v>
      </c>
      <c r="BI50" s="632" t="s">
        <v>112</v>
      </c>
      <c r="BL50" s="16"/>
      <c r="BM50" s="16"/>
      <c r="BN50" s="16"/>
      <c r="BO50" s="16"/>
      <c r="BP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8"/>
      <c r="DT50" s="19"/>
      <c r="DX50" s="20"/>
      <c r="DY50" s="27"/>
      <c r="DZ50" s="100"/>
      <c r="EA50" s="77"/>
      <c r="EB50" s="77"/>
      <c r="EC50" s="44"/>
    </row>
    <row r="51" spans="1:133" ht="12.75" customHeight="1">
      <c r="A51" s="86"/>
      <c r="B51" s="64" t="s">
        <v>46</v>
      </c>
      <c r="C51" s="109">
        <f>IF($C$47="Note b","N.A.",$C$47*$C$13)</f>
        <v>9.0999999999999998E-2</v>
      </c>
      <c r="D51" s="55" t="s">
        <v>459</v>
      </c>
      <c r="E51" s="55"/>
      <c r="F51" s="55"/>
      <c r="G51" s="55"/>
      <c r="H51" s="55"/>
      <c r="I51" s="130"/>
      <c r="K51" s="507" t="s">
        <v>267</v>
      </c>
      <c r="L51" s="334">
        <v>0.3</v>
      </c>
      <c r="M51" s="335"/>
      <c r="N51" s="336"/>
      <c r="O51" s="118">
        <v>1.4</v>
      </c>
      <c r="T51" s="342" t="s">
        <v>289</v>
      </c>
      <c r="U51" s="405" t="s">
        <v>431</v>
      </c>
      <c r="V51" s="361">
        <v>8</v>
      </c>
      <c r="W51" s="400">
        <v>2.5</v>
      </c>
      <c r="X51" s="399">
        <v>5</v>
      </c>
      <c r="Y51" s="364" t="s">
        <v>110</v>
      </c>
      <c r="Z51" s="298" t="s">
        <v>110</v>
      </c>
      <c r="AA51" s="298">
        <v>160</v>
      </c>
      <c r="AB51" s="298">
        <v>160</v>
      </c>
      <c r="AC51" s="298">
        <v>100</v>
      </c>
      <c r="AD51" s="298">
        <v>0.02</v>
      </c>
      <c r="AE51" s="298">
        <v>0.75</v>
      </c>
      <c r="AF51" s="303"/>
      <c r="AG51" s="303"/>
      <c r="AH51" s="324"/>
      <c r="AT51" s="1385" t="s">
        <v>598</v>
      </c>
      <c r="AU51" s="1386" t="s">
        <v>431</v>
      </c>
      <c r="AV51" s="1386" t="s">
        <v>431</v>
      </c>
      <c r="AW51" s="1386" t="s">
        <v>431</v>
      </c>
      <c r="AX51" s="1387" t="s">
        <v>431</v>
      </c>
      <c r="AY51" s="1383">
        <v>8</v>
      </c>
      <c r="AZ51" s="1384">
        <v>8</v>
      </c>
      <c r="BA51" s="1383">
        <v>2.5</v>
      </c>
      <c r="BB51" s="1384">
        <v>2.5</v>
      </c>
      <c r="BC51" s="1383">
        <v>5</v>
      </c>
      <c r="BD51" s="1384">
        <v>5</v>
      </c>
      <c r="BE51" s="630" t="s">
        <v>110</v>
      </c>
      <c r="BF51" s="630" t="s">
        <v>110</v>
      </c>
      <c r="BG51" s="633">
        <v>160</v>
      </c>
      <c r="BH51" s="633">
        <v>160</v>
      </c>
      <c r="BI51" s="633">
        <v>100</v>
      </c>
      <c r="BL51" s="16"/>
      <c r="BM51" s="16"/>
      <c r="BN51" s="16"/>
      <c r="BO51" s="16"/>
      <c r="BP51" s="16"/>
      <c r="DX51" s="20"/>
      <c r="DY51" s="27"/>
      <c r="DZ51" s="100"/>
      <c r="EA51" s="77"/>
      <c r="EB51" s="77"/>
      <c r="EC51" s="44"/>
    </row>
    <row r="52" spans="1:133" ht="12.75" customHeight="1">
      <c r="A52" s="80"/>
      <c r="B52" s="55"/>
      <c r="C52" s="55"/>
      <c r="D52" s="55"/>
      <c r="E52" s="55"/>
      <c r="F52" s="55"/>
      <c r="G52" s="55"/>
      <c r="H52" s="55"/>
      <c r="I52" s="130"/>
      <c r="K52" s="507" t="s">
        <v>268</v>
      </c>
      <c r="L52" s="334">
        <v>0.2</v>
      </c>
      <c r="M52" s="335"/>
      <c r="N52" s="336"/>
      <c r="O52" s="118">
        <v>1.5</v>
      </c>
      <c r="T52" s="342" t="s">
        <v>290</v>
      </c>
      <c r="U52" s="405" t="s">
        <v>321</v>
      </c>
      <c r="V52" s="361">
        <v>7</v>
      </c>
      <c r="W52" s="400">
        <v>2</v>
      </c>
      <c r="X52" s="399">
        <v>6</v>
      </c>
      <c r="Y52" s="364" t="s">
        <v>110</v>
      </c>
      <c r="Z52" s="298" t="s">
        <v>110</v>
      </c>
      <c r="AA52" s="298">
        <v>160</v>
      </c>
      <c r="AB52" s="298">
        <v>160</v>
      </c>
      <c r="AC52" s="298">
        <v>100</v>
      </c>
      <c r="AD52" s="298">
        <v>0.02</v>
      </c>
      <c r="AE52" s="298">
        <v>0.75</v>
      </c>
      <c r="AF52" s="324"/>
      <c r="AG52" s="324"/>
      <c r="AH52" s="324"/>
      <c r="AT52" s="1385" t="s">
        <v>599</v>
      </c>
      <c r="AU52" s="1386" t="s">
        <v>321</v>
      </c>
      <c r="AV52" s="1386" t="s">
        <v>321</v>
      </c>
      <c r="AW52" s="1386" t="s">
        <v>321</v>
      </c>
      <c r="AX52" s="1387" t="s">
        <v>321</v>
      </c>
      <c r="AY52" s="1383">
        <v>7</v>
      </c>
      <c r="AZ52" s="1384">
        <v>7</v>
      </c>
      <c r="BA52" s="1383">
        <v>2</v>
      </c>
      <c r="BB52" s="1384">
        <v>2</v>
      </c>
      <c r="BC52" s="1383">
        <v>6</v>
      </c>
      <c r="BD52" s="1384">
        <v>6</v>
      </c>
      <c r="BE52" s="610" t="s">
        <v>110</v>
      </c>
      <c r="BF52" s="597" t="s">
        <v>110</v>
      </c>
      <c r="BG52" s="601">
        <v>160</v>
      </c>
      <c r="BH52" s="601">
        <v>160</v>
      </c>
      <c r="BI52" s="601">
        <v>100</v>
      </c>
      <c r="BL52" s="16"/>
      <c r="BM52" s="16"/>
      <c r="BN52" s="16"/>
      <c r="BO52" s="16"/>
      <c r="BP52" s="16"/>
      <c r="DX52" s="20"/>
      <c r="DY52" s="27"/>
      <c r="DZ52" s="100"/>
      <c r="EA52" s="77"/>
      <c r="EB52" s="77"/>
      <c r="EC52" s="44"/>
    </row>
    <row r="53" spans="1:133" ht="12.75" customHeight="1">
      <c r="A53" s="54" t="s">
        <v>80</v>
      </c>
      <c r="B53" s="55"/>
      <c r="C53" s="94"/>
      <c r="D53" s="81"/>
      <c r="E53" s="55"/>
      <c r="F53" s="20"/>
      <c r="G53" s="105"/>
      <c r="H53" s="185"/>
      <c r="I53" s="308"/>
      <c r="J53" s="25"/>
      <c r="K53" s="507" t="s">
        <v>269</v>
      </c>
      <c r="L53" s="334">
        <v>0.15</v>
      </c>
      <c r="M53" s="335"/>
      <c r="N53" s="336"/>
      <c r="O53" s="118">
        <v>1.6</v>
      </c>
      <c r="T53" s="343" t="s">
        <v>294</v>
      </c>
      <c r="U53" s="366"/>
      <c r="V53" s="366"/>
      <c r="W53" s="366"/>
      <c r="X53" s="366"/>
      <c r="Y53" s="366"/>
      <c r="Z53" s="366"/>
      <c r="AA53" s="366"/>
      <c r="AB53" s="366"/>
      <c r="AC53" s="344"/>
      <c r="AD53" s="323"/>
      <c r="AE53" s="344"/>
      <c r="AF53" s="324"/>
      <c r="AG53" s="324"/>
      <c r="AH53" s="324"/>
      <c r="AM53" s="27"/>
      <c r="AT53" s="603" t="s">
        <v>294</v>
      </c>
      <c r="AU53" s="604"/>
      <c r="AV53" s="604"/>
      <c r="AW53" s="604"/>
      <c r="AX53" s="604"/>
      <c r="AY53" s="591"/>
      <c r="AZ53" s="591"/>
      <c r="BA53" s="591"/>
      <c r="BB53" s="591"/>
      <c r="BC53" s="591"/>
      <c r="BD53" s="591"/>
      <c r="BE53" s="605"/>
      <c r="BF53" s="605"/>
      <c r="BG53" s="605"/>
      <c r="BH53" s="605"/>
      <c r="BI53" s="592"/>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8"/>
      <c r="DT53" s="19"/>
      <c r="DX53" s="20"/>
      <c r="DY53" s="27"/>
      <c r="DZ53" s="100"/>
      <c r="EA53" s="77"/>
      <c r="EB53" s="77"/>
      <c r="EC53" s="44"/>
    </row>
    <row r="54" spans="1:133" ht="12.75" customHeight="1">
      <c r="A54" s="85"/>
      <c r="B54" s="64" t="s">
        <v>47</v>
      </c>
      <c r="C54" s="107">
        <f>IF($C$50="N.A.","N.A.",2*$C$50/3)</f>
        <v>0.12533333333333332</v>
      </c>
      <c r="D54" s="55" t="s">
        <v>460</v>
      </c>
      <c r="E54" s="55"/>
      <c r="F54" s="55"/>
      <c r="G54" s="105"/>
      <c r="H54" s="194"/>
      <c r="I54" s="309"/>
      <c r="J54" s="25"/>
      <c r="K54" s="507" t="s">
        <v>270</v>
      </c>
      <c r="L54" s="337" t="s">
        <v>234</v>
      </c>
      <c r="M54" s="338"/>
      <c r="N54" s="339"/>
      <c r="O54" s="124">
        <v>1.7</v>
      </c>
      <c r="T54" s="357" t="s">
        <v>295</v>
      </c>
      <c r="U54" s="403" t="s">
        <v>432</v>
      </c>
      <c r="V54" s="358">
        <v>8</v>
      </c>
      <c r="W54" s="358">
        <v>3</v>
      </c>
      <c r="X54" s="358">
        <v>5.5</v>
      </c>
      <c r="Y54" s="296" t="s">
        <v>110</v>
      </c>
      <c r="Z54" s="296" t="s">
        <v>110</v>
      </c>
      <c r="AA54" s="296" t="s">
        <v>110</v>
      </c>
      <c r="AB54" s="296" t="s">
        <v>110</v>
      </c>
      <c r="AC54" s="296" t="s">
        <v>110</v>
      </c>
      <c r="AD54" s="299">
        <v>2.8000000000000001E-2</v>
      </c>
      <c r="AE54" s="469">
        <v>0.8</v>
      </c>
      <c r="AF54" s="324"/>
      <c r="AG54" s="324"/>
      <c r="AH54" s="324"/>
      <c r="AM54" s="44"/>
      <c r="AN54" s="89"/>
      <c r="AT54" s="1385" t="s">
        <v>523</v>
      </c>
      <c r="AU54" s="1388"/>
      <c r="AV54" s="1388"/>
      <c r="AW54" s="1388"/>
      <c r="AX54" s="1389"/>
      <c r="AY54" s="1383">
        <v>8</v>
      </c>
      <c r="AZ54" s="1384"/>
      <c r="BA54" s="1383">
        <v>3</v>
      </c>
      <c r="BB54" s="1384"/>
      <c r="BC54" s="1383">
        <v>5.5</v>
      </c>
      <c r="BD54" s="1384"/>
      <c r="BE54" s="593" t="s">
        <v>110</v>
      </c>
      <c r="BF54" s="593" t="s">
        <v>110</v>
      </c>
      <c r="BG54" s="593" t="s">
        <v>110</v>
      </c>
      <c r="BH54" s="593" t="s">
        <v>110</v>
      </c>
      <c r="BI54" s="593" t="s">
        <v>110</v>
      </c>
      <c r="BL54" s="16" t="str">
        <f t="shared" ref="BL54:BL90" si="0">IF(BE54=Y54,"","no!")</f>
        <v/>
      </c>
      <c r="BM54" s="16" t="str">
        <f t="shared" ref="BM54" si="1">IF(BF54=Z54,"","no!")</f>
        <v/>
      </c>
      <c r="BN54" s="16" t="str">
        <f t="shared" ref="BN54" si="2">IF(BG54=AA54,"","no!")</f>
        <v/>
      </c>
      <c r="BO54" s="16" t="str">
        <f t="shared" ref="BO54" si="3">IF(BH54=AB54,"","no!")</f>
        <v/>
      </c>
      <c r="BP54" s="16" t="str">
        <f t="shared" ref="BP54" si="4">IF(BI54=AC54,"","no!")</f>
        <v/>
      </c>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8"/>
      <c r="DT54" s="19"/>
      <c r="DX54" s="20"/>
      <c r="DY54" s="27"/>
      <c r="DZ54" s="100"/>
      <c r="EA54" s="77"/>
      <c r="EB54" s="77"/>
      <c r="EC54" s="44"/>
    </row>
    <row r="55" spans="1:133" ht="12.75" customHeight="1">
      <c r="A55" s="86"/>
      <c r="B55" s="64" t="s">
        <v>48</v>
      </c>
      <c r="C55" s="109">
        <f>IF($C$51="N.A.","N.A.",2*$C$51/3)</f>
        <v>6.0666666666666667E-2</v>
      </c>
      <c r="D55" s="55" t="s">
        <v>461</v>
      </c>
      <c r="E55" s="55"/>
      <c r="F55" s="55"/>
      <c r="G55" s="55"/>
      <c r="H55" s="55"/>
      <c r="I55" s="310"/>
      <c r="J55" s="25"/>
      <c r="K55" s="507" t="s">
        <v>271</v>
      </c>
      <c r="T55" s="325" t="s">
        <v>296</v>
      </c>
      <c r="U55" s="404" t="s">
        <v>433</v>
      </c>
      <c r="V55" s="359">
        <v>7</v>
      </c>
      <c r="W55" s="359">
        <v>3</v>
      </c>
      <c r="X55" s="359">
        <v>5.5</v>
      </c>
      <c r="Y55" s="297" t="s">
        <v>110</v>
      </c>
      <c r="Z55" s="297" t="s">
        <v>110</v>
      </c>
      <c r="AA55" s="297">
        <v>160</v>
      </c>
      <c r="AB55" s="297">
        <v>100</v>
      </c>
      <c r="AC55" s="297" t="s">
        <v>112</v>
      </c>
      <c r="AD55" s="297">
        <v>2.8000000000000001E-2</v>
      </c>
      <c r="AE55" s="384">
        <v>0.8</v>
      </c>
      <c r="AF55" s="324"/>
      <c r="AG55" s="324"/>
      <c r="AH55" s="324"/>
      <c r="AT55" s="1380" t="s">
        <v>524</v>
      </c>
      <c r="AU55" s="1390"/>
      <c r="AV55" s="1390"/>
      <c r="AW55" s="1390"/>
      <c r="AX55" s="1391"/>
      <c r="AY55" s="1392">
        <v>7</v>
      </c>
      <c r="AZ55" s="1393"/>
      <c r="BA55" s="1392">
        <v>3</v>
      </c>
      <c r="BB55" s="1393"/>
      <c r="BC55" s="1392">
        <v>5.5</v>
      </c>
      <c r="BD55" s="1393"/>
      <c r="BE55" s="594" t="s">
        <v>110</v>
      </c>
      <c r="BF55" s="594" t="s">
        <v>110</v>
      </c>
      <c r="BG55" s="596">
        <v>160</v>
      </c>
      <c r="BH55" s="596">
        <v>100</v>
      </c>
      <c r="BI55" s="595" t="s">
        <v>112</v>
      </c>
      <c r="BL55" s="16"/>
      <c r="BM55" s="16"/>
      <c r="BN55" s="16"/>
      <c r="BO55" s="16"/>
      <c r="BP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8"/>
      <c r="DT55" s="19"/>
      <c r="DX55" s="20"/>
      <c r="DY55" s="27"/>
      <c r="DZ55" s="100"/>
      <c r="EA55" s="77"/>
      <c r="EB55" s="77"/>
      <c r="EC55" s="44"/>
    </row>
    <row r="56" spans="1:133" ht="12.75" customHeight="1">
      <c r="A56" s="311"/>
      <c r="B56" s="312"/>
      <c r="C56" s="312"/>
      <c r="D56" s="312"/>
      <c r="E56" s="312"/>
      <c r="F56" s="312"/>
      <c r="G56" s="312"/>
      <c r="H56" s="312"/>
      <c r="I56" s="402" t="s">
        <v>377</v>
      </c>
      <c r="J56" s="25"/>
      <c r="K56" s="507" t="s">
        <v>272</v>
      </c>
      <c r="N56" s="136" t="s">
        <v>220</v>
      </c>
      <c r="O56" s="44">
        <f>IF($C$55&gt;0.4,1.4,IF($C$55&gt;=0.3,1.4,IF($C$55&gt;=0.2,(1.4-1.5)*($C$55-0.3)/(0.3-0.2)+1.4,IF($C$55&gt;=0.15,(1.5-1.6)*($C$55-0.2)/(0.2-0.15)+1.5,IF($C$55&gt;0.1,(1.6-1.7)*($C$55-0.15)/(0.15-0.1)+1.6,1.7)   ))))</f>
        <v>1.7</v>
      </c>
      <c r="T56" s="325" t="s">
        <v>297</v>
      </c>
      <c r="U56" s="404" t="s">
        <v>434</v>
      </c>
      <c r="V56" s="359">
        <v>4.5</v>
      </c>
      <c r="W56" s="359">
        <v>3</v>
      </c>
      <c r="X56" s="359">
        <v>4</v>
      </c>
      <c r="Y56" s="297" t="s">
        <v>110</v>
      </c>
      <c r="Z56" s="297" t="s">
        <v>110</v>
      </c>
      <c r="AA56" s="297">
        <v>35</v>
      </c>
      <c r="AB56" s="297" t="s">
        <v>112</v>
      </c>
      <c r="AC56" s="297" t="s">
        <v>112</v>
      </c>
      <c r="AD56" s="297">
        <v>2.8000000000000001E-2</v>
      </c>
      <c r="AE56" s="384">
        <v>0.8</v>
      </c>
      <c r="AF56" s="324"/>
      <c r="AG56" s="324"/>
      <c r="AH56" s="324"/>
      <c r="AT56" s="1380" t="s">
        <v>525</v>
      </c>
      <c r="AU56" s="1390"/>
      <c r="AV56" s="1390"/>
      <c r="AW56" s="1390"/>
      <c r="AX56" s="1391"/>
      <c r="AY56" s="1392">
        <v>4.5</v>
      </c>
      <c r="AZ56" s="1393"/>
      <c r="BA56" s="1392">
        <v>3</v>
      </c>
      <c r="BB56" s="1393"/>
      <c r="BC56" s="1392">
        <v>4</v>
      </c>
      <c r="BD56" s="1393"/>
      <c r="BE56" s="594" t="s">
        <v>110</v>
      </c>
      <c r="BF56" s="594" t="s">
        <v>110</v>
      </c>
      <c r="BG56" s="596" t="s">
        <v>526</v>
      </c>
      <c r="BH56" s="595" t="s">
        <v>527</v>
      </c>
      <c r="BI56" s="595" t="s">
        <v>528</v>
      </c>
      <c r="BL56" s="16"/>
      <c r="BM56" s="16"/>
      <c r="BN56" s="16"/>
      <c r="BO56" s="16"/>
      <c r="BP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8"/>
      <c r="DT56" s="19"/>
      <c r="DX56" s="20"/>
      <c r="DY56" s="27"/>
      <c r="DZ56" s="100"/>
      <c r="EA56" s="77"/>
      <c r="EB56" s="77"/>
      <c r="EC56" s="44"/>
    </row>
    <row r="57" spans="1:133" ht="12.75" customHeight="1">
      <c r="A57" s="141"/>
      <c r="B57" s="142"/>
      <c r="C57" s="142"/>
      <c r="D57" s="142"/>
      <c r="E57" s="142"/>
      <c r="F57" s="142"/>
      <c r="G57" s="142"/>
      <c r="H57" s="142"/>
      <c r="I57" s="143"/>
      <c r="J57" s="25"/>
      <c r="K57" s="507" t="s">
        <v>273</v>
      </c>
      <c r="T57" s="325" t="s">
        <v>298</v>
      </c>
      <c r="U57" s="404" t="s">
        <v>435</v>
      </c>
      <c r="V57" s="359">
        <v>3.5</v>
      </c>
      <c r="W57" s="359">
        <v>3</v>
      </c>
      <c r="X57" s="359">
        <v>3</v>
      </c>
      <c r="Y57" s="297" t="s">
        <v>110</v>
      </c>
      <c r="Z57" s="297" t="s">
        <v>110</v>
      </c>
      <c r="AA57" s="297" t="s">
        <v>112</v>
      </c>
      <c r="AB57" s="297" t="s">
        <v>112</v>
      </c>
      <c r="AC57" s="297" t="s">
        <v>112</v>
      </c>
      <c r="AD57" s="297">
        <v>2.8000000000000001E-2</v>
      </c>
      <c r="AE57" s="384">
        <v>0.8</v>
      </c>
      <c r="AF57" s="324"/>
      <c r="AG57" s="324"/>
      <c r="AH57" s="324"/>
      <c r="AT57" s="1380" t="s">
        <v>529</v>
      </c>
      <c r="AU57" s="1390"/>
      <c r="AV57" s="1390"/>
      <c r="AW57" s="1390"/>
      <c r="AX57" s="1391"/>
      <c r="AY57" s="1392">
        <v>3.5</v>
      </c>
      <c r="AZ57" s="1393"/>
      <c r="BA57" s="1392">
        <v>3</v>
      </c>
      <c r="BB57" s="1393"/>
      <c r="BC57" s="1392">
        <v>3</v>
      </c>
      <c r="BD57" s="1393"/>
      <c r="BE57" s="594" t="s">
        <v>110</v>
      </c>
      <c r="BF57" s="594" t="s">
        <v>110</v>
      </c>
      <c r="BG57" s="595" t="s">
        <v>527</v>
      </c>
      <c r="BH57" s="595" t="s">
        <v>527</v>
      </c>
      <c r="BI57" s="595" t="s">
        <v>528</v>
      </c>
      <c r="BL57" s="16"/>
      <c r="BM57" s="16"/>
      <c r="BN57" s="16"/>
      <c r="BO57" s="16"/>
      <c r="BP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8"/>
      <c r="DT57" s="19"/>
      <c r="DX57" s="20"/>
      <c r="DY57" s="27"/>
      <c r="DZ57" s="100"/>
      <c r="EA57" s="77"/>
      <c r="EB57" s="77"/>
      <c r="EC57" s="44"/>
    </row>
    <row r="58" spans="1:133" ht="12.75" customHeight="1">
      <c r="A58" s="54" t="s">
        <v>58</v>
      </c>
      <c r="B58" s="55"/>
      <c r="C58" s="94"/>
      <c r="D58" s="81"/>
      <c r="E58" s="68"/>
      <c r="F58" s="55"/>
      <c r="G58" s="55"/>
      <c r="H58" s="56"/>
      <c r="I58" s="305"/>
      <c r="J58" s="25"/>
      <c r="K58" s="507" t="s">
        <v>274</v>
      </c>
      <c r="M58" s="77"/>
      <c r="T58" s="325" t="s">
        <v>299</v>
      </c>
      <c r="U58" s="404" t="s">
        <v>137</v>
      </c>
      <c r="V58" s="359">
        <v>8</v>
      </c>
      <c r="W58" s="359">
        <v>3</v>
      </c>
      <c r="X58" s="359">
        <v>5.5</v>
      </c>
      <c r="Y58" s="297" t="s">
        <v>110</v>
      </c>
      <c r="Z58" s="297" t="s">
        <v>110</v>
      </c>
      <c r="AA58" s="297" t="s">
        <v>110</v>
      </c>
      <c r="AB58" s="297" t="s">
        <v>110</v>
      </c>
      <c r="AC58" s="297" t="s">
        <v>110</v>
      </c>
      <c r="AD58" s="297">
        <v>1.6E-2</v>
      </c>
      <c r="AE58" s="384">
        <v>0.9</v>
      </c>
      <c r="AF58" s="324"/>
      <c r="AG58" s="324"/>
      <c r="AH58" s="324"/>
      <c r="AT58" s="1380" t="s">
        <v>530</v>
      </c>
      <c r="AU58" s="1390"/>
      <c r="AV58" s="1390"/>
      <c r="AW58" s="1390"/>
      <c r="AX58" s="1391"/>
      <c r="AY58" s="1392">
        <v>8</v>
      </c>
      <c r="AZ58" s="1393"/>
      <c r="BA58" s="1392">
        <v>3</v>
      </c>
      <c r="BB58" s="1393"/>
      <c r="BC58" s="1392">
        <v>5.5</v>
      </c>
      <c r="BD58" s="1393"/>
      <c r="BE58" s="594" t="s">
        <v>110</v>
      </c>
      <c r="BF58" s="594" t="s">
        <v>110</v>
      </c>
      <c r="BG58" s="594" t="s">
        <v>110</v>
      </c>
      <c r="BH58" s="594" t="s">
        <v>110</v>
      </c>
      <c r="BI58" s="594" t="s">
        <v>110</v>
      </c>
      <c r="BL58" s="16"/>
      <c r="BM58" s="16"/>
      <c r="BN58" s="16"/>
      <c r="BO58" s="16"/>
      <c r="BP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8"/>
      <c r="DT58" s="19"/>
      <c r="DX58" s="20"/>
      <c r="DY58" s="27"/>
      <c r="DZ58" s="100"/>
      <c r="EA58" s="77"/>
      <c r="EB58" s="77"/>
      <c r="EC58" s="44"/>
    </row>
    <row r="59" spans="1:133" ht="12.75" customHeight="1">
      <c r="A59" s="85"/>
      <c r="B59" s="64" t="s">
        <v>75</v>
      </c>
      <c r="C59" s="122" t="str">
        <f>IF($C$54="N.A.","N.A.",IF(OR($M$23="I",$M$23="II"),$M$32,IF($M$23="III",$N$32,IF($M$23="IV",$O$32))))</f>
        <v>A</v>
      </c>
      <c r="D59" s="55" t="s">
        <v>464</v>
      </c>
      <c r="E59" s="68"/>
      <c r="F59" s="120"/>
      <c r="G59" s="55"/>
      <c r="H59" s="200"/>
      <c r="I59" s="306"/>
      <c r="J59" s="25"/>
      <c r="K59" s="507" t="s">
        <v>275</v>
      </c>
      <c r="M59" s="77"/>
      <c r="T59" s="325" t="s">
        <v>300</v>
      </c>
      <c r="U59" s="404" t="s">
        <v>436</v>
      </c>
      <c r="V59" s="359">
        <v>5</v>
      </c>
      <c r="W59" s="359">
        <v>3</v>
      </c>
      <c r="X59" s="359">
        <v>4.5</v>
      </c>
      <c r="Y59" s="297" t="s">
        <v>110</v>
      </c>
      <c r="Z59" s="297" t="s">
        <v>110</v>
      </c>
      <c r="AA59" s="297" t="s">
        <v>112</v>
      </c>
      <c r="AB59" s="297" t="s">
        <v>112</v>
      </c>
      <c r="AC59" s="297" t="s">
        <v>112</v>
      </c>
      <c r="AD59" s="297">
        <v>1.6E-2</v>
      </c>
      <c r="AE59" s="384">
        <v>0.9</v>
      </c>
      <c r="AF59" s="324"/>
      <c r="AG59" s="324"/>
      <c r="AH59" s="324"/>
      <c r="AT59" s="1380" t="s">
        <v>531</v>
      </c>
      <c r="AU59" s="1390"/>
      <c r="AV59" s="1390"/>
      <c r="AW59" s="1390"/>
      <c r="AX59" s="1391"/>
      <c r="AY59" s="1392">
        <v>5</v>
      </c>
      <c r="AZ59" s="1393"/>
      <c r="BA59" s="1392">
        <v>3</v>
      </c>
      <c r="BB59" s="1393"/>
      <c r="BC59" s="1392">
        <v>4.5</v>
      </c>
      <c r="BD59" s="1393"/>
      <c r="BE59" s="594" t="s">
        <v>110</v>
      </c>
      <c r="BF59" s="594" t="s">
        <v>110</v>
      </c>
      <c r="BG59" s="595" t="s">
        <v>112</v>
      </c>
      <c r="BH59" s="595" t="s">
        <v>112</v>
      </c>
      <c r="BI59" s="595" t="s">
        <v>112</v>
      </c>
      <c r="BL59" s="16"/>
      <c r="BM59" s="16"/>
      <c r="BN59" s="16"/>
      <c r="BO59" s="16"/>
      <c r="BP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8"/>
      <c r="DT59" s="19"/>
      <c r="DX59" s="20"/>
      <c r="DY59" s="27"/>
      <c r="DZ59" s="100"/>
      <c r="EA59" s="77"/>
      <c r="EB59" s="77"/>
      <c r="EC59" s="44"/>
    </row>
    <row r="60" spans="1:133" ht="12.75" customHeight="1">
      <c r="A60" s="86"/>
      <c r="B60" s="64" t="s">
        <v>76</v>
      </c>
      <c r="C60" s="125" t="str">
        <f>IF($C$55="N.A.","N.A.",IF(OR($M$23="I",$M$23="II"),$M$41,IF($M$23="III",$N$41,IF($M$23="IV",$O$41))))</f>
        <v>A</v>
      </c>
      <c r="D60" s="55" t="s">
        <v>465</v>
      </c>
      <c r="E60" s="68"/>
      <c r="F60" s="55"/>
      <c r="G60" s="55"/>
      <c r="H60" s="56"/>
      <c r="I60" s="307"/>
      <c r="J60" s="25"/>
      <c r="K60" s="507" t="s">
        <v>276</v>
      </c>
      <c r="M60" s="77"/>
      <c r="T60" s="325" t="s">
        <v>301</v>
      </c>
      <c r="U60" s="404" t="s">
        <v>437</v>
      </c>
      <c r="V60" s="359">
        <v>3</v>
      </c>
      <c r="W60" s="359">
        <v>3</v>
      </c>
      <c r="X60" s="359">
        <v>2.5</v>
      </c>
      <c r="Y60" s="297" t="s">
        <v>110</v>
      </c>
      <c r="Z60" s="297" t="s">
        <v>112</v>
      </c>
      <c r="AA60" s="297" t="s">
        <v>112</v>
      </c>
      <c r="AB60" s="297" t="s">
        <v>112</v>
      </c>
      <c r="AC60" s="297" t="s">
        <v>112</v>
      </c>
      <c r="AD60" s="297">
        <v>1.6E-2</v>
      </c>
      <c r="AE60" s="384">
        <v>0.9</v>
      </c>
      <c r="AF60" s="324"/>
      <c r="AG60" s="324"/>
      <c r="AH60" s="324"/>
      <c r="AT60" s="1380" t="s">
        <v>532</v>
      </c>
      <c r="AU60" s="1390"/>
      <c r="AV60" s="1390"/>
      <c r="AW60" s="1390"/>
      <c r="AX60" s="1391"/>
      <c r="AY60" s="1392">
        <v>3</v>
      </c>
      <c r="AZ60" s="1393"/>
      <c r="BA60" s="1392">
        <v>3</v>
      </c>
      <c r="BB60" s="1393"/>
      <c r="BC60" s="1392">
        <v>2.5</v>
      </c>
      <c r="BD60" s="1393"/>
      <c r="BE60" s="594" t="s">
        <v>110</v>
      </c>
      <c r="BF60" s="595" t="s">
        <v>112</v>
      </c>
      <c r="BG60" s="595" t="s">
        <v>112</v>
      </c>
      <c r="BH60" s="595" t="s">
        <v>112</v>
      </c>
      <c r="BI60" s="595" t="s">
        <v>112</v>
      </c>
      <c r="BL60" s="16"/>
      <c r="BM60" s="16"/>
      <c r="BN60" s="16"/>
      <c r="BO60" s="16"/>
      <c r="BP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8"/>
      <c r="DT60" s="19"/>
      <c r="DX60" s="20"/>
      <c r="DY60" s="27"/>
      <c r="DZ60" s="100"/>
      <c r="EA60" s="77"/>
      <c r="EB60" s="77"/>
      <c r="EC60" s="44"/>
    </row>
    <row r="61" spans="1:133" ht="12.75" customHeight="1">
      <c r="A61" s="80"/>
      <c r="B61" s="67" t="s">
        <v>85</v>
      </c>
      <c r="C61" s="124" t="str">
        <f>IF(OR($C$59="N.A.",$C$60="N.A."),"N.A.",$P$43)</f>
        <v>A</v>
      </c>
      <c r="D61" s="55" t="s">
        <v>86</v>
      </c>
      <c r="E61" s="55"/>
      <c r="F61" s="120"/>
      <c r="G61" s="105"/>
      <c r="H61" s="105"/>
      <c r="I61" s="130"/>
      <c r="K61" s="324" t="s">
        <v>277</v>
      </c>
      <c r="M61" s="77"/>
      <c r="T61" s="325" t="s">
        <v>302</v>
      </c>
      <c r="U61" s="404" t="s">
        <v>438</v>
      </c>
      <c r="V61" s="359">
        <v>8</v>
      </c>
      <c r="W61" s="359">
        <v>3</v>
      </c>
      <c r="X61" s="359">
        <v>5.5</v>
      </c>
      <c r="Y61" s="297" t="s">
        <v>110</v>
      </c>
      <c r="Z61" s="297" t="s">
        <v>110</v>
      </c>
      <c r="AA61" s="297" t="s">
        <v>110</v>
      </c>
      <c r="AB61" s="297" t="s">
        <v>110</v>
      </c>
      <c r="AC61" s="297" t="s">
        <v>110</v>
      </c>
      <c r="AD61" s="297">
        <v>0.02</v>
      </c>
      <c r="AE61" s="297">
        <v>0.75</v>
      </c>
      <c r="AF61" s="324"/>
      <c r="AG61" s="324"/>
      <c r="AH61" s="324"/>
      <c r="AT61" s="1380" t="s">
        <v>533</v>
      </c>
      <c r="AU61" s="1390"/>
      <c r="AV61" s="1390"/>
      <c r="AW61" s="1390"/>
      <c r="AX61" s="1391"/>
      <c r="AY61" s="1392">
        <v>8</v>
      </c>
      <c r="AZ61" s="1393"/>
      <c r="BA61" s="1392">
        <v>3</v>
      </c>
      <c r="BB61" s="1393"/>
      <c r="BC61" s="1392">
        <v>5.5</v>
      </c>
      <c r="BD61" s="1393"/>
      <c r="BE61" s="594" t="s">
        <v>110</v>
      </c>
      <c r="BF61" s="594" t="s">
        <v>110</v>
      </c>
      <c r="BG61" s="594" t="s">
        <v>110</v>
      </c>
      <c r="BH61" s="594" t="s">
        <v>110</v>
      </c>
      <c r="BI61" s="594" t="s">
        <v>110</v>
      </c>
      <c r="BL61" s="16"/>
      <c r="BM61" s="16"/>
      <c r="BN61" s="16"/>
      <c r="BO61" s="16"/>
      <c r="BP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8"/>
      <c r="DT61" s="19"/>
      <c r="DX61" s="20"/>
      <c r="DY61" s="27"/>
      <c r="DZ61" s="100"/>
      <c r="EA61" s="77"/>
      <c r="EB61" s="77"/>
      <c r="EC61" s="44"/>
    </row>
    <row r="62" spans="1:133" ht="12.75" customHeight="1">
      <c r="A62" s="80"/>
      <c r="B62" s="55"/>
      <c r="C62" s="55"/>
      <c r="D62" s="55"/>
      <c r="E62" s="55"/>
      <c r="F62" s="55"/>
      <c r="G62" s="55"/>
      <c r="H62" s="55"/>
      <c r="I62" s="90"/>
      <c r="J62" s="33"/>
      <c r="K62" s="324" t="s">
        <v>278</v>
      </c>
      <c r="M62" s="145"/>
      <c r="T62" s="325" t="s">
        <v>303</v>
      </c>
      <c r="U62" s="404" t="s">
        <v>439</v>
      </c>
      <c r="V62" s="359">
        <v>5</v>
      </c>
      <c r="W62" s="359">
        <v>3</v>
      </c>
      <c r="X62" s="359">
        <v>4.5</v>
      </c>
      <c r="Y62" s="297" t="s">
        <v>110</v>
      </c>
      <c r="Z62" s="297" t="s">
        <v>110</v>
      </c>
      <c r="AA62" s="297" t="s">
        <v>112</v>
      </c>
      <c r="AB62" s="297" t="s">
        <v>112</v>
      </c>
      <c r="AC62" s="297" t="s">
        <v>112</v>
      </c>
      <c r="AD62" s="297">
        <v>0.02</v>
      </c>
      <c r="AE62" s="297">
        <v>0.75</v>
      </c>
      <c r="AF62" s="324"/>
      <c r="AG62" s="324"/>
      <c r="AH62" s="324"/>
      <c r="AT62" s="1380" t="s">
        <v>534</v>
      </c>
      <c r="AU62" s="1390"/>
      <c r="AV62" s="1390"/>
      <c r="AW62" s="1390"/>
      <c r="AX62" s="1391"/>
      <c r="AY62" s="1392">
        <v>5</v>
      </c>
      <c r="AZ62" s="1393"/>
      <c r="BA62" s="1392">
        <v>3</v>
      </c>
      <c r="BB62" s="1393"/>
      <c r="BC62" s="1392">
        <v>4.5</v>
      </c>
      <c r="BD62" s="1393"/>
      <c r="BE62" s="594" t="s">
        <v>110</v>
      </c>
      <c r="BF62" s="594" t="s">
        <v>110</v>
      </c>
      <c r="BG62" s="595" t="s">
        <v>112</v>
      </c>
      <c r="BH62" s="595" t="s">
        <v>112</v>
      </c>
      <c r="BI62" s="595" t="s">
        <v>112</v>
      </c>
      <c r="BL62" s="16"/>
      <c r="BM62" s="16"/>
      <c r="BN62" s="16"/>
      <c r="BO62" s="16"/>
      <c r="BP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8"/>
      <c r="DT62" s="19"/>
      <c r="DX62" s="20"/>
      <c r="DY62" s="27"/>
      <c r="DZ62" s="100"/>
      <c r="EA62" s="77"/>
      <c r="EB62" s="77"/>
      <c r="EC62" s="44"/>
    </row>
    <row r="63" spans="1:133" ht="12.75" customHeight="1">
      <c r="A63" s="54" t="s">
        <v>154</v>
      </c>
      <c r="B63" s="55"/>
      <c r="C63" s="55"/>
      <c r="D63" s="55"/>
      <c r="E63" s="55"/>
      <c r="F63" s="55"/>
      <c r="G63" s="105"/>
      <c r="H63" s="105"/>
      <c r="I63" s="130"/>
      <c r="J63" s="33"/>
      <c r="K63" s="507" t="s">
        <v>279</v>
      </c>
      <c r="T63" s="325" t="s">
        <v>304</v>
      </c>
      <c r="U63" s="404" t="s">
        <v>440</v>
      </c>
      <c r="V63" s="359">
        <v>6</v>
      </c>
      <c r="W63" s="359">
        <v>3</v>
      </c>
      <c r="X63" s="359">
        <v>5.5</v>
      </c>
      <c r="Y63" s="297">
        <v>160</v>
      </c>
      <c r="Z63" s="297">
        <v>160</v>
      </c>
      <c r="AA63" s="297">
        <v>100</v>
      </c>
      <c r="AB63" s="297" t="s">
        <v>112</v>
      </c>
      <c r="AC63" s="297" t="s">
        <v>112</v>
      </c>
      <c r="AD63" s="297">
        <v>0.02</v>
      </c>
      <c r="AE63" s="297">
        <v>0.75</v>
      </c>
      <c r="AF63" s="303"/>
      <c r="AG63" s="303"/>
      <c r="AH63" s="303"/>
      <c r="AT63" s="1380" t="s">
        <v>535</v>
      </c>
      <c r="AU63" s="1390"/>
      <c r="AV63" s="1390"/>
      <c r="AW63" s="1390"/>
      <c r="AX63" s="1391"/>
      <c r="AY63" s="1392">
        <v>6</v>
      </c>
      <c r="AZ63" s="1393"/>
      <c r="BA63" s="1392">
        <v>3</v>
      </c>
      <c r="BB63" s="1393"/>
      <c r="BC63" s="1392">
        <v>5.5</v>
      </c>
      <c r="BD63" s="1393"/>
      <c r="BE63" s="596">
        <v>160</v>
      </c>
      <c r="BF63" s="596">
        <v>160</v>
      </c>
      <c r="BG63" s="596">
        <v>100</v>
      </c>
      <c r="BH63" s="595" t="s">
        <v>112</v>
      </c>
      <c r="BI63" s="595" t="s">
        <v>112</v>
      </c>
      <c r="BL63" s="16"/>
      <c r="BM63" s="16"/>
      <c r="BN63" s="16"/>
      <c r="BO63" s="16"/>
      <c r="BP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8"/>
      <c r="DT63" s="19"/>
      <c r="DX63" s="20"/>
      <c r="DY63" s="27"/>
      <c r="DZ63" s="100"/>
      <c r="EA63" s="77"/>
      <c r="EB63" s="77"/>
      <c r="EC63" s="44"/>
    </row>
    <row r="64" spans="1:133" ht="12.75" customHeight="1">
      <c r="A64" s="80"/>
      <c r="B64" s="68" t="s">
        <v>214</v>
      </c>
      <c r="C64" s="96">
        <f>VLOOKUP($C$17,$T$8:$AE$99,11, FALSE)</f>
        <v>2.8000000000000001E-2</v>
      </c>
      <c r="D64" s="81" t="s">
        <v>467</v>
      </c>
      <c r="E64" s="55"/>
      <c r="F64" s="55"/>
      <c r="G64" s="105"/>
      <c r="H64" s="204"/>
      <c r="I64" s="313"/>
      <c r="J64" s="33"/>
      <c r="K64" s="507" t="s">
        <v>280</v>
      </c>
      <c r="T64" s="325" t="s">
        <v>305</v>
      </c>
      <c r="U64" s="404" t="s">
        <v>441</v>
      </c>
      <c r="V64" s="359">
        <v>3</v>
      </c>
      <c r="W64" s="359">
        <v>3</v>
      </c>
      <c r="X64" s="359">
        <v>2.5</v>
      </c>
      <c r="Y64" s="297" t="s">
        <v>110</v>
      </c>
      <c r="Z64" s="297" t="s">
        <v>112</v>
      </c>
      <c r="AA64" s="297" t="s">
        <v>112</v>
      </c>
      <c r="AB64" s="297" t="s">
        <v>112</v>
      </c>
      <c r="AC64" s="297" t="s">
        <v>112</v>
      </c>
      <c r="AD64" s="322">
        <v>0.02</v>
      </c>
      <c r="AE64" s="297">
        <v>0.75</v>
      </c>
      <c r="AF64" s="324"/>
      <c r="AG64" s="324"/>
      <c r="AH64" s="324"/>
      <c r="AT64" s="1380" t="s">
        <v>536</v>
      </c>
      <c r="AU64" s="1390"/>
      <c r="AV64" s="1390"/>
      <c r="AW64" s="1390"/>
      <c r="AX64" s="1391"/>
      <c r="AY64" s="1392">
        <v>3</v>
      </c>
      <c r="AZ64" s="1393"/>
      <c r="BA64" s="1392">
        <v>3</v>
      </c>
      <c r="BB64" s="1393"/>
      <c r="BC64" s="1392">
        <v>2.5</v>
      </c>
      <c r="BD64" s="1393"/>
      <c r="BE64" s="594" t="s">
        <v>110</v>
      </c>
      <c r="BF64" s="595" t="s">
        <v>112</v>
      </c>
      <c r="BG64" s="595" t="s">
        <v>112</v>
      </c>
      <c r="BH64" s="595" t="s">
        <v>112</v>
      </c>
      <c r="BI64" s="595" t="s">
        <v>112</v>
      </c>
      <c r="BL64" s="16"/>
      <c r="BM64" s="16"/>
      <c r="BN64" s="16"/>
      <c r="BO64" s="16"/>
      <c r="BP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8"/>
      <c r="DT64" s="19"/>
      <c r="DX64" s="20"/>
      <c r="DY64" s="27"/>
      <c r="DZ64" s="100"/>
      <c r="EA64" s="77"/>
      <c r="EB64" s="77"/>
      <c r="EC64" s="44"/>
    </row>
    <row r="65" spans="1:133" ht="12.75" customHeight="1">
      <c r="A65" s="80"/>
      <c r="B65" s="67" t="s">
        <v>119</v>
      </c>
      <c r="C65" s="377">
        <f>VLOOKUP($C$17,$T$8:$AE$99,12, FALSE)</f>
        <v>0.8</v>
      </c>
      <c r="D65" s="81" t="s">
        <v>467</v>
      </c>
      <c r="E65" s="55"/>
      <c r="F65" s="55"/>
      <c r="G65" s="55"/>
      <c r="H65" s="55"/>
      <c r="I65" s="90"/>
      <c r="J65" s="33"/>
      <c r="K65" s="507" t="s">
        <v>281</v>
      </c>
      <c r="T65" s="325" t="s">
        <v>442</v>
      </c>
      <c r="U65" s="404" t="s">
        <v>443</v>
      </c>
      <c r="V65" s="359">
        <v>3.5</v>
      </c>
      <c r="W65" s="359">
        <v>3</v>
      </c>
      <c r="X65" s="359">
        <v>3.5</v>
      </c>
      <c r="Y65" s="297">
        <v>35</v>
      </c>
      <c r="Z65" s="297">
        <v>35</v>
      </c>
      <c r="AA65" s="297">
        <v>35</v>
      </c>
      <c r="AB65" s="297">
        <v>35</v>
      </c>
      <c r="AC65" s="297">
        <v>35</v>
      </c>
      <c r="AD65" s="322">
        <v>0.02</v>
      </c>
      <c r="AE65" s="297">
        <v>0.75</v>
      </c>
      <c r="AH65" s="324"/>
      <c r="AT65" s="1394" t="s">
        <v>600</v>
      </c>
      <c r="AU65" s="1395"/>
      <c r="AV65" s="1395"/>
      <c r="AW65" s="1395"/>
      <c r="AX65" s="1396"/>
      <c r="AY65" s="1392" t="s">
        <v>601</v>
      </c>
      <c r="AZ65" s="1393"/>
      <c r="BA65" s="1392" t="s">
        <v>602</v>
      </c>
      <c r="BB65" s="1393"/>
      <c r="BC65" s="1392" t="s">
        <v>601</v>
      </c>
      <c r="BD65" s="1393"/>
      <c r="BE65" s="596">
        <v>35</v>
      </c>
      <c r="BF65" s="596">
        <v>35</v>
      </c>
      <c r="BG65" s="596">
        <v>35</v>
      </c>
      <c r="BH65" s="596">
        <v>35</v>
      </c>
      <c r="BI65" s="596">
        <v>35</v>
      </c>
      <c r="BL65" s="16"/>
      <c r="BM65" s="16"/>
      <c r="BN65" s="16"/>
      <c r="BO65" s="16"/>
      <c r="BP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8"/>
      <c r="DT65" s="19"/>
      <c r="DX65" s="20"/>
      <c r="DY65" s="27"/>
      <c r="DZ65" s="100"/>
      <c r="EA65" s="77"/>
      <c r="EB65" s="77"/>
      <c r="EC65" s="44"/>
    </row>
    <row r="66" spans="1:133" ht="12.75" customHeight="1">
      <c r="A66" s="80"/>
      <c r="B66" s="67" t="s">
        <v>215</v>
      </c>
      <c r="C66" s="133">
        <f>$C$64*$C$15^($C$65)</f>
        <v>0.88553767331977473</v>
      </c>
      <c r="D66" s="304" t="s">
        <v>468</v>
      </c>
      <c r="E66" s="55"/>
      <c r="F66" s="55"/>
      <c r="G66" s="105"/>
      <c r="H66" s="206"/>
      <c r="I66" s="309"/>
      <c r="J66" s="33"/>
      <c r="K66" s="507" t="s">
        <v>282</v>
      </c>
      <c r="T66" s="343" t="s">
        <v>319</v>
      </c>
      <c r="U66" s="366"/>
      <c r="V66" s="366"/>
      <c r="W66" s="366"/>
      <c r="X66" s="366"/>
      <c r="Y66" s="366"/>
      <c r="Z66" s="366"/>
      <c r="AA66" s="366"/>
      <c r="AB66" s="366"/>
      <c r="AC66" s="344"/>
      <c r="AD66" s="470"/>
      <c r="AE66" s="344"/>
      <c r="AF66" s="324"/>
      <c r="AG66" s="324"/>
      <c r="AH66" s="324"/>
      <c r="AT66" s="612" t="s">
        <v>319</v>
      </c>
      <c r="AU66" s="604"/>
      <c r="AV66" s="604"/>
      <c r="AW66" s="604"/>
      <c r="AX66" s="604"/>
      <c r="AY66" s="591"/>
      <c r="AZ66" s="591"/>
      <c r="BA66" s="591"/>
      <c r="BB66" s="591"/>
      <c r="BC66" s="591"/>
      <c r="BD66" s="591"/>
      <c r="BE66" s="591"/>
      <c r="BF66" s="591"/>
      <c r="BG66" s="591"/>
      <c r="BH66" s="591"/>
      <c r="BI66" s="592"/>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8"/>
      <c r="DT66" s="19"/>
      <c r="DX66" s="20"/>
      <c r="DY66" s="27"/>
      <c r="DZ66" s="100"/>
      <c r="EA66" s="77"/>
      <c r="EB66" s="77"/>
      <c r="EC66" s="44"/>
    </row>
    <row r="67" spans="1:133" ht="12.75" customHeight="1">
      <c r="A67" s="80"/>
      <c r="B67" s="67" t="s">
        <v>117</v>
      </c>
      <c r="C67" s="389">
        <f>$O$56</f>
        <v>1.7</v>
      </c>
      <c r="D67" s="177" t="s">
        <v>469</v>
      </c>
      <c r="E67" s="55"/>
      <c r="F67" s="55"/>
      <c r="G67" s="55"/>
      <c r="H67" s="55"/>
      <c r="I67" s="90"/>
      <c r="J67" s="33"/>
      <c r="K67" s="507" t="s">
        <v>283</v>
      </c>
      <c r="L67" s="91"/>
      <c r="M67" s="147"/>
      <c r="N67" s="148"/>
      <c r="O67" s="128"/>
      <c r="P67" s="129"/>
      <c r="T67" s="385" t="s">
        <v>306</v>
      </c>
      <c r="U67" s="406" t="s">
        <v>320</v>
      </c>
      <c r="V67" s="368">
        <v>8</v>
      </c>
      <c r="W67" s="368">
        <v>2.5</v>
      </c>
      <c r="X67" s="368">
        <v>4</v>
      </c>
      <c r="Y67" s="300" t="s">
        <v>110</v>
      </c>
      <c r="Z67" s="300" t="s">
        <v>110</v>
      </c>
      <c r="AA67" s="300" t="s">
        <v>110</v>
      </c>
      <c r="AB67" s="300" t="s">
        <v>110</v>
      </c>
      <c r="AC67" s="300" t="s">
        <v>110</v>
      </c>
      <c r="AD67" s="320">
        <v>0.03</v>
      </c>
      <c r="AE67" s="320">
        <v>0.75</v>
      </c>
      <c r="AF67" s="324"/>
      <c r="AG67" s="324"/>
      <c r="AH67" s="324"/>
      <c r="AT67" s="1380" t="s">
        <v>537</v>
      </c>
      <c r="AU67" s="1381"/>
      <c r="AV67" s="1381"/>
      <c r="AW67" s="1381"/>
      <c r="AX67" s="1382"/>
      <c r="AY67" s="1392">
        <v>8</v>
      </c>
      <c r="AZ67" s="1393"/>
      <c r="BA67" s="1392">
        <v>2.5</v>
      </c>
      <c r="BB67" s="1393"/>
      <c r="BC67" s="1392">
        <v>4</v>
      </c>
      <c r="BD67" s="1393"/>
      <c r="BE67" s="607" t="s">
        <v>110</v>
      </c>
      <c r="BF67" s="607" t="s">
        <v>110</v>
      </c>
      <c r="BG67" s="607" t="s">
        <v>110</v>
      </c>
      <c r="BH67" s="607" t="s">
        <v>110</v>
      </c>
      <c r="BI67" s="607" t="s">
        <v>110</v>
      </c>
      <c r="BL67" s="16" t="str">
        <f t="shared" si="0"/>
        <v/>
      </c>
      <c r="BM67" s="16"/>
      <c r="BN67" s="16"/>
      <c r="BO67" s="16"/>
      <c r="BP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8"/>
      <c r="DT67" s="19"/>
      <c r="DX67" s="20"/>
      <c r="DY67" s="27"/>
      <c r="DZ67" s="100"/>
      <c r="EA67" s="77"/>
      <c r="EB67" s="77"/>
      <c r="EC67" s="44"/>
    </row>
    <row r="68" spans="1:133" ht="12.75" customHeight="1">
      <c r="A68" s="80"/>
      <c r="B68" s="67" t="s">
        <v>157</v>
      </c>
      <c r="C68" s="389">
        <f>$C$67*$C$66</f>
        <v>1.5054140446436171</v>
      </c>
      <c r="D68" s="391" t="s">
        <v>470</v>
      </c>
      <c r="E68" s="55"/>
      <c r="F68" s="55"/>
      <c r="G68" s="55"/>
      <c r="H68" s="55"/>
      <c r="I68" s="90"/>
      <c r="J68" s="53"/>
      <c r="K68" s="324" t="s">
        <v>284</v>
      </c>
      <c r="L68" s="91"/>
      <c r="M68" s="149"/>
      <c r="N68" s="150"/>
      <c r="O68" s="128"/>
      <c r="P68" s="70"/>
      <c r="T68" s="342" t="s">
        <v>307</v>
      </c>
      <c r="U68" s="404" t="s">
        <v>421</v>
      </c>
      <c r="V68" s="359">
        <v>7</v>
      </c>
      <c r="W68" s="361">
        <v>2.5</v>
      </c>
      <c r="X68" s="361">
        <v>5.5</v>
      </c>
      <c r="Y68" s="297" t="s">
        <v>110</v>
      </c>
      <c r="Z68" s="297" t="s">
        <v>110</v>
      </c>
      <c r="AA68" s="297" t="s">
        <v>110</v>
      </c>
      <c r="AB68" s="297" t="s">
        <v>110</v>
      </c>
      <c r="AC68" s="297" t="s">
        <v>110</v>
      </c>
      <c r="AD68" s="297">
        <v>0.02</v>
      </c>
      <c r="AE68" s="297">
        <v>0.75</v>
      </c>
      <c r="AF68" s="324"/>
      <c r="AG68" s="324"/>
      <c r="AH68" s="324"/>
      <c r="AT68" s="1380" t="s">
        <v>538</v>
      </c>
      <c r="AU68" s="1381"/>
      <c r="AV68" s="1381"/>
      <c r="AW68" s="1381"/>
      <c r="AX68" s="1382"/>
      <c r="AY68" s="1392">
        <v>7</v>
      </c>
      <c r="AZ68" s="1393"/>
      <c r="BA68" s="1392">
        <v>2.5</v>
      </c>
      <c r="BB68" s="1393"/>
      <c r="BC68" s="1392">
        <v>5.5</v>
      </c>
      <c r="BD68" s="1393"/>
      <c r="BE68" s="599" t="s">
        <v>110</v>
      </c>
      <c r="BF68" s="599" t="s">
        <v>110</v>
      </c>
      <c r="BG68" s="599" t="s">
        <v>110</v>
      </c>
      <c r="BH68" s="599" t="s">
        <v>110</v>
      </c>
      <c r="BI68" s="599" t="s">
        <v>110</v>
      </c>
      <c r="BL68" s="16"/>
      <c r="BM68" s="16"/>
      <c r="BN68" s="16"/>
      <c r="BO68" s="16"/>
      <c r="BP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8"/>
      <c r="DT68" s="19"/>
      <c r="DX68" s="20"/>
      <c r="DY68" s="27"/>
      <c r="DZ68" s="100"/>
      <c r="EA68" s="77"/>
      <c r="EB68" s="77"/>
      <c r="EC68" s="44"/>
    </row>
    <row r="69" spans="1:133" ht="12.75" customHeight="1">
      <c r="A69" s="80"/>
      <c r="B69" s="67" t="s">
        <v>216</v>
      </c>
      <c r="C69" s="109">
        <f>IF(OR($C$16=0,$C$16=""),MIN($C$66,$C$68),MIN($C$16,$C$68))</f>
        <v>0.88553767331977473</v>
      </c>
      <c r="D69" s="55" t="str">
        <f>"sec.,  "&amp;IF(OR($C$16=0,$C$16=""),"T = Ta &lt;= Cu*Ta,  ASCE 7-10 Section 12.8.2, page 90","T = Tc &lt;= Cu*Ta,  ASCE 7-05 Section 12.8.2, page 129")</f>
        <v>sec.,  T = Ta &lt;= Cu*Ta,  ASCE 7-10 Section 12.8.2, page 90</v>
      </c>
      <c r="E69" s="55"/>
      <c r="F69" s="55"/>
      <c r="G69" s="105"/>
      <c r="H69" s="206"/>
      <c r="I69" s="309"/>
      <c r="J69" s="53"/>
      <c r="K69" s="324" t="s">
        <v>285</v>
      </c>
      <c r="L69" s="91"/>
      <c r="M69" s="149"/>
      <c r="N69" s="150"/>
      <c r="O69" s="128"/>
      <c r="P69" s="70"/>
      <c r="T69" s="325" t="s">
        <v>308</v>
      </c>
      <c r="U69" s="404" t="s">
        <v>125</v>
      </c>
      <c r="V69" s="359">
        <v>7</v>
      </c>
      <c r="W69" s="361">
        <v>2.5</v>
      </c>
      <c r="X69" s="361">
        <v>5.5</v>
      </c>
      <c r="Y69" s="297" t="s">
        <v>110</v>
      </c>
      <c r="Z69" s="297" t="s">
        <v>110</v>
      </c>
      <c r="AA69" s="297" t="s">
        <v>110</v>
      </c>
      <c r="AB69" s="297" t="s">
        <v>110</v>
      </c>
      <c r="AC69" s="297" t="s">
        <v>110</v>
      </c>
      <c r="AD69" s="297">
        <v>0.02</v>
      </c>
      <c r="AE69" s="297">
        <v>0.75</v>
      </c>
      <c r="AF69" s="324"/>
      <c r="AG69" s="324"/>
      <c r="AH69" s="324"/>
      <c r="AT69" s="1380" t="s">
        <v>539</v>
      </c>
      <c r="AU69" s="1381"/>
      <c r="AV69" s="1381"/>
      <c r="AW69" s="1381"/>
      <c r="AX69" s="1382"/>
      <c r="AY69" s="1392">
        <v>7</v>
      </c>
      <c r="AZ69" s="1393"/>
      <c r="BA69" s="1392">
        <v>2.5</v>
      </c>
      <c r="BB69" s="1393"/>
      <c r="BC69" s="1392">
        <v>5.5</v>
      </c>
      <c r="BD69" s="1393"/>
      <c r="BE69" s="597" t="s">
        <v>110</v>
      </c>
      <c r="BF69" s="597" t="s">
        <v>110</v>
      </c>
      <c r="BG69" s="597" t="s">
        <v>110</v>
      </c>
      <c r="BH69" s="597" t="s">
        <v>110</v>
      </c>
      <c r="BI69" s="597" t="s">
        <v>110</v>
      </c>
      <c r="BL69" s="16"/>
      <c r="BM69" s="16"/>
      <c r="BN69" s="16"/>
      <c r="BO69" s="16"/>
      <c r="BP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8"/>
      <c r="DT69" s="19"/>
      <c r="DX69" s="20"/>
      <c r="DY69" s="27"/>
      <c r="DZ69" s="100"/>
      <c r="EA69" s="77"/>
      <c r="EB69" s="77"/>
      <c r="EC69" s="44"/>
    </row>
    <row r="70" spans="1:133" ht="12.75" customHeight="1">
      <c r="A70" s="80"/>
      <c r="B70" s="55"/>
      <c r="C70" s="55"/>
      <c r="D70" s="55"/>
      <c r="E70" s="55"/>
      <c r="F70" s="55"/>
      <c r="G70" s="55"/>
      <c r="H70" s="55"/>
      <c r="I70" s="90"/>
      <c r="J70" s="53"/>
      <c r="K70" s="324" t="s">
        <v>286</v>
      </c>
      <c r="L70" s="91"/>
      <c r="M70" s="149"/>
      <c r="N70" s="150"/>
      <c r="O70" s="128"/>
      <c r="P70" s="70"/>
      <c r="T70" s="325" t="s">
        <v>309</v>
      </c>
      <c r="U70" s="404" t="s">
        <v>126</v>
      </c>
      <c r="V70" s="359">
        <v>6</v>
      </c>
      <c r="W70" s="361">
        <v>2.5</v>
      </c>
      <c r="X70" s="361">
        <v>5</v>
      </c>
      <c r="Y70" s="297" t="s">
        <v>110</v>
      </c>
      <c r="Z70" s="297" t="s">
        <v>110</v>
      </c>
      <c r="AA70" s="297" t="s">
        <v>112</v>
      </c>
      <c r="AB70" s="297" t="s">
        <v>112</v>
      </c>
      <c r="AC70" s="297" t="s">
        <v>112</v>
      </c>
      <c r="AD70" s="297">
        <v>0.02</v>
      </c>
      <c r="AE70" s="297">
        <v>0.75</v>
      </c>
      <c r="AF70" s="324"/>
      <c r="AG70" s="324"/>
      <c r="AH70" s="324"/>
      <c r="AT70" s="1380" t="s">
        <v>540</v>
      </c>
      <c r="AU70" s="1381"/>
      <c r="AV70" s="1381"/>
      <c r="AW70" s="1381"/>
      <c r="AX70" s="1382"/>
      <c r="AY70" s="1392">
        <v>6</v>
      </c>
      <c r="AZ70" s="1393"/>
      <c r="BA70" s="1392">
        <v>2.5</v>
      </c>
      <c r="BB70" s="1393"/>
      <c r="BC70" s="1392">
        <v>5</v>
      </c>
      <c r="BD70" s="1393"/>
      <c r="BE70" s="599" t="s">
        <v>110</v>
      </c>
      <c r="BF70" s="599" t="s">
        <v>110</v>
      </c>
      <c r="BG70" s="600" t="s">
        <v>112</v>
      </c>
      <c r="BH70" s="600" t="s">
        <v>112</v>
      </c>
      <c r="BI70" s="600" t="s">
        <v>112</v>
      </c>
      <c r="BL70" s="16"/>
      <c r="BM70" s="16"/>
      <c r="BN70" s="16"/>
      <c r="BO70" s="16"/>
      <c r="BP70" s="16"/>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8"/>
      <c r="DT70" s="19"/>
      <c r="DX70" s="20"/>
      <c r="DY70" s="27"/>
      <c r="DZ70" s="100"/>
      <c r="EA70" s="77"/>
      <c r="EB70" s="77"/>
      <c r="EC70" s="44"/>
    </row>
    <row r="71" spans="1:133" ht="12.75" customHeight="1">
      <c r="A71" s="54" t="s">
        <v>141</v>
      </c>
      <c r="B71" s="20"/>
      <c r="C71" s="20"/>
      <c r="D71" s="20"/>
      <c r="E71" s="20"/>
      <c r="F71" s="20"/>
      <c r="G71" s="105"/>
      <c r="H71" s="105"/>
      <c r="I71" s="314"/>
      <c r="J71" s="53"/>
      <c r="K71" s="324" t="s">
        <v>287</v>
      </c>
      <c r="L71" s="91"/>
      <c r="M71" s="149"/>
      <c r="N71" s="150"/>
      <c r="O71" s="128"/>
      <c r="P71" s="70"/>
      <c r="T71" s="325" t="s">
        <v>310</v>
      </c>
      <c r="U71" s="404" t="s">
        <v>423</v>
      </c>
      <c r="V71" s="359">
        <v>8</v>
      </c>
      <c r="W71" s="361">
        <v>2.5</v>
      </c>
      <c r="X71" s="361">
        <v>4</v>
      </c>
      <c r="Y71" s="297" t="s">
        <v>110</v>
      </c>
      <c r="Z71" s="297" t="s">
        <v>110</v>
      </c>
      <c r="AA71" s="297" t="s">
        <v>110</v>
      </c>
      <c r="AB71" s="297" t="s">
        <v>110</v>
      </c>
      <c r="AC71" s="297" t="s">
        <v>110</v>
      </c>
      <c r="AD71" s="297">
        <v>0.02</v>
      </c>
      <c r="AE71" s="297">
        <v>0.75</v>
      </c>
      <c r="AF71" s="324"/>
      <c r="AG71" s="324"/>
      <c r="AH71" s="324"/>
      <c r="AT71" s="1380" t="s">
        <v>541</v>
      </c>
      <c r="AU71" s="1381"/>
      <c r="AV71" s="1381"/>
      <c r="AW71" s="1381"/>
      <c r="AX71" s="1382"/>
      <c r="AY71" s="1392">
        <v>8</v>
      </c>
      <c r="AZ71" s="1393"/>
      <c r="BA71" s="1392">
        <v>2.5</v>
      </c>
      <c r="BB71" s="1393"/>
      <c r="BC71" s="1392">
        <v>4</v>
      </c>
      <c r="BD71" s="1393"/>
      <c r="BE71" s="594" t="s">
        <v>110</v>
      </c>
      <c r="BF71" s="594" t="s">
        <v>110</v>
      </c>
      <c r="BG71" s="594" t="s">
        <v>110</v>
      </c>
      <c r="BH71" s="594" t="s">
        <v>110</v>
      </c>
      <c r="BI71" s="594" t="s">
        <v>110</v>
      </c>
      <c r="BL71" s="16"/>
      <c r="BM71" s="16"/>
      <c r="BN71" s="16"/>
      <c r="BO71" s="16"/>
      <c r="BP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8"/>
      <c r="DT71" s="19"/>
      <c r="DX71" s="20"/>
      <c r="DY71" s="27"/>
      <c r="DZ71" s="100"/>
      <c r="EA71" s="77"/>
      <c r="EB71" s="77"/>
      <c r="EC71" s="44"/>
    </row>
    <row r="72" spans="1:133" ht="12.75" customHeight="1">
      <c r="A72" s="80"/>
      <c r="B72" s="67" t="s">
        <v>140</v>
      </c>
      <c r="C72" s="116">
        <f>IF($C$61="N.A.","N.A.",VLOOKUP($C$17,$T$8:$AE$99,3, FALSE))</f>
        <v>3.5</v>
      </c>
      <c r="D72" s="55" t="s">
        <v>471</v>
      </c>
      <c r="E72" s="68"/>
      <c r="F72" s="120"/>
      <c r="G72" s="105"/>
      <c r="H72" s="208"/>
      <c r="I72" s="314"/>
      <c r="J72" s="53"/>
      <c r="K72" s="324" t="s">
        <v>288</v>
      </c>
      <c r="L72" s="91"/>
      <c r="M72" s="149"/>
      <c r="N72" s="150"/>
      <c r="O72" s="128"/>
      <c r="P72" s="70"/>
      <c r="T72" s="325" t="s">
        <v>311</v>
      </c>
      <c r="U72" s="404" t="s">
        <v>444</v>
      </c>
      <c r="V72" s="359">
        <v>6</v>
      </c>
      <c r="W72" s="361">
        <v>2.5</v>
      </c>
      <c r="X72" s="361">
        <v>5</v>
      </c>
      <c r="Y72" s="297" t="s">
        <v>110</v>
      </c>
      <c r="Z72" s="297" t="s">
        <v>110</v>
      </c>
      <c r="AA72" s="297" t="s">
        <v>110</v>
      </c>
      <c r="AB72" s="297" t="s">
        <v>110</v>
      </c>
      <c r="AC72" s="297" t="s">
        <v>110</v>
      </c>
      <c r="AD72" s="297">
        <v>0.02</v>
      </c>
      <c r="AE72" s="297">
        <v>0.75</v>
      </c>
      <c r="AF72" s="324"/>
      <c r="AG72" s="324"/>
      <c r="AH72" s="324"/>
      <c r="AT72" s="1380" t="s">
        <v>542</v>
      </c>
      <c r="AU72" s="1381"/>
      <c r="AV72" s="1381"/>
      <c r="AW72" s="1381"/>
      <c r="AX72" s="1382"/>
      <c r="AY72" s="1392">
        <v>6</v>
      </c>
      <c r="AZ72" s="1393"/>
      <c r="BA72" s="1392">
        <v>2.5</v>
      </c>
      <c r="BB72" s="1393"/>
      <c r="BC72" s="1392">
        <v>5</v>
      </c>
      <c r="BD72" s="1393"/>
      <c r="BE72" s="594" t="s">
        <v>110</v>
      </c>
      <c r="BF72" s="594" t="s">
        <v>110</v>
      </c>
      <c r="BG72" s="594" t="s">
        <v>110</v>
      </c>
      <c r="BH72" s="594" t="s">
        <v>110</v>
      </c>
      <c r="BI72" s="594" t="s">
        <v>110</v>
      </c>
      <c r="BL72" s="16"/>
      <c r="BM72" s="16"/>
      <c r="BN72" s="16"/>
      <c r="BO72" s="16"/>
      <c r="BP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8"/>
      <c r="DT72" s="19"/>
      <c r="DX72" s="20"/>
      <c r="DY72" s="27"/>
      <c r="DZ72" s="100"/>
      <c r="EA72" s="77"/>
      <c r="EB72" s="77"/>
      <c r="EC72" s="44"/>
    </row>
    <row r="73" spans="1:133" ht="12.75" customHeight="1">
      <c r="A73" s="80"/>
      <c r="B73" s="67" t="s">
        <v>165</v>
      </c>
      <c r="C73" s="125">
        <f>IF($C$61="N.A.","N.A.",VLOOKUP($C$17,$T$8:$AE$99,4, FALSE))</f>
        <v>3</v>
      </c>
      <c r="D73" s="55" t="s">
        <v>471</v>
      </c>
      <c r="E73" s="55"/>
      <c r="F73" s="55"/>
      <c r="G73" s="55"/>
      <c r="H73" s="55"/>
      <c r="I73" s="90"/>
      <c r="J73" s="53"/>
      <c r="K73" s="324" t="s">
        <v>289</v>
      </c>
      <c r="L73" s="91"/>
      <c r="M73" s="149"/>
      <c r="N73" s="150"/>
      <c r="O73" s="128"/>
      <c r="P73" s="70"/>
      <c r="T73" s="325" t="s">
        <v>312</v>
      </c>
      <c r="U73" s="404" t="s">
        <v>445</v>
      </c>
      <c r="V73" s="359">
        <v>7.5</v>
      </c>
      <c r="W73" s="361">
        <v>2.5</v>
      </c>
      <c r="X73" s="361">
        <v>6</v>
      </c>
      <c r="Y73" s="297" t="s">
        <v>110</v>
      </c>
      <c r="Z73" s="297" t="s">
        <v>110</v>
      </c>
      <c r="AA73" s="297" t="s">
        <v>110</v>
      </c>
      <c r="AB73" s="297" t="s">
        <v>110</v>
      </c>
      <c r="AC73" s="297" t="s">
        <v>110</v>
      </c>
      <c r="AD73" s="297">
        <v>0.02</v>
      </c>
      <c r="AE73" s="297">
        <v>0.75</v>
      </c>
      <c r="AF73" s="324"/>
      <c r="AG73" s="324"/>
      <c r="AH73" s="324"/>
      <c r="AT73" s="1380" t="s">
        <v>543</v>
      </c>
      <c r="AU73" s="1381"/>
      <c r="AV73" s="1381"/>
      <c r="AW73" s="1381"/>
      <c r="AX73" s="1382"/>
      <c r="AY73" s="1392">
        <v>7.5</v>
      </c>
      <c r="AZ73" s="1393"/>
      <c r="BA73" s="1392">
        <v>2.5</v>
      </c>
      <c r="BB73" s="1393"/>
      <c r="BC73" s="1392">
        <v>6</v>
      </c>
      <c r="BD73" s="1393"/>
      <c r="BE73" s="594" t="s">
        <v>110</v>
      </c>
      <c r="BF73" s="594" t="s">
        <v>110</v>
      </c>
      <c r="BG73" s="594" t="s">
        <v>110</v>
      </c>
      <c r="BH73" s="594" t="s">
        <v>110</v>
      </c>
      <c r="BI73" s="594" t="s">
        <v>110</v>
      </c>
      <c r="BL73" s="16"/>
      <c r="BM73" s="16"/>
      <c r="BN73" s="16"/>
      <c r="BO73" s="16"/>
      <c r="BP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8"/>
      <c r="DT73" s="19"/>
      <c r="DX73" s="20"/>
      <c r="DY73" s="27"/>
      <c r="DZ73" s="100"/>
      <c r="EA73" s="77"/>
      <c r="EB73" s="77"/>
      <c r="EC73" s="44"/>
    </row>
    <row r="74" spans="1:133" ht="12.75" customHeight="1">
      <c r="A74" s="80"/>
      <c r="B74" s="67" t="s">
        <v>166</v>
      </c>
      <c r="C74" s="125">
        <f>IF($C$61="N.A.","N.A.",VLOOKUP($C$17,$T$8:$AE$99,5, FALSE))</f>
        <v>3</v>
      </c>
      <c r="D74" s="55" t="s">
        <v>471</v>
      </c>
      <c r="E74" s="55"/>
      <c r="F74" s="55"/>
      <c r="G74" s="55"/>
      <c r="H74" s="55"/>
      <c r="I74" s="90"/>
      <c r="J74" s="53"/>
      <c r="K74" s="324" t="s">
        <v>290</v>
      </c>
      <c r="L74" s="91"/>
      <c r="M74" s="149"/>
      <c r="N74" s="150"/>
      <c r="O74" s="128"/>
      <c r="P74" s="70"/>
      <c r="T74" s="325" t="s">
        <v>313</v>
      </c>
      <c r="U74" s="405" t="s">
        <v>446</v>
      </c>
      <c r="V74" s="361">
        <v>7</v>
      </c>
      <c r="W74" s="361">
        <v>2.5</v>
      </c>
      <c r="X74" s="361">
        <v>6</v>
      </c>
      <c r="Y74" s="298" t="s">
        <v>110</v>
      </c>
      <c r="Z74" s="298" t="s">
        <v>110</v>
      </c>
      <c r="AA74" s="298" t="s">
        <v>110</v>
      </c>
      <c r="AB74" s="298" t="s">
        <v>110</v>
      </c>
      <c r="AC74" s="298" t="s">
        <v>110</v>
      </c>
      <c r="AD74" s="298">
        <v>0.02</v>
      </c>
      <c r="AE74" s="298">
        <v>0.75</v>
      </c>
      <c r="AF74" s="324"/>
      <c r="AG74" s="324"/>
      <c r="AH74" s="324"/>
      <c r="AT74" s="1380" t="s">
        <v>544</v>
      </c>
      <c r="AU74" s="1381"/>
      <c r="AV74" s="1381"/>
      <c r="AW74" s="1381"/>
      <c r="AX74" s="1382"/>
      <c r="AY74" s="1392">
        <v>7</v>
      </c>
      <c r="AZ74" s="1393"/>
      <c r="BA74" s="1392">
        <v>2.5</v>
      </c>
      <c r="BB74" s="1393"/>
      <c r="BC74" s="1392">
        <v>6</v>
      </c>
      <c r="BD74" s="1393"/>
      <c r="BE74" s="594" t="s">
        <v>110</v>
      </c>
      <c r="BF74" s="594" t="s">
        <v>110</v>
      </c>
      <c r="BG74" s="594" t="s">
        <v>110</v>
      </c>
      <c r="BH74" s="594" t="s">
        <v>110</v>
      </c>
      <c r="BI74" s="594" t="s">
        <v>110</v>
      </c>
      <c r="BL74" s="16"/>
      <c r="BM74" s="16"/>
      <c r="BN74" s="16"/>
      <c r="BO74" s="16"/>
      <c r="BP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8"/>
      <c r="DT74" s="19"/>
      <c r="DX74" s="20"/>
      <c r="DY74" s="27"/>
      <c r="DZ74" s="100"/>
      <c r="EA74" s="77"/>
      <c r="EB74" s="77"/>
      <c r="EC74" s="44"/>
    </row>
    <row r="75" spans="1:133" ht="12.75" customHeight="1">
      <c r="A75" s="80"/>
      <c r="B75" s="67" t="s">
        <v>77</v>
      </c>
      <c r="C75" s="133">
        <f>IF($C$61="N.A.","N.A.",$C$54/($C$72/$C$9))</f>
        <v>4.476190476190476E-2</v>
      </c>
      <c r="D75" s="177" t="s">
        <v>472</v>
      </c>
      <c r="E75" s="68"/>
      <c r="F75" s="120"/>
      <c r="G75" s="105"/>
      <c r="H75" s="208"/>
      <c r="I75" s="314"/>
      <c r="J75" s="53"/>
      <c r="K75" s="507" t="s">
        <v>295</v>
      </c>
      <c r="L75" s="91"/>
      <c r="M75" s="149"/>
      <c r="N75" s="150"/>
      <c r="O75" s="128"/>
      <c r="P75" s="70"/>
      <c r="T75" s="342" t="s">
        <v>314</v>
      </c>
      <c r="U75" s="405" t="s">
        <v>428</v>
      </c>
      <c r="V75" s="361">
        <v>6</v>
      </c>
      <c r="W75" s="361">
        <v>2.5</v>
      </c>
      <c r="X75" s="361">
        <v>5</v>
      </c>
      <c r="Y75" s="298" t="s">
        <v>110</v>
      </c>
      <c r="Z75" s="298" t="s">
        <v>110</v>
      </c>
      <c r="AA75" s="298" t="s">
        <v>112</v>
      </c>
      <c r="AB75" s="298" t="s">
        <v>112</v>
      </c>
      <c r="AC75" s="298" t="s">
        <v>112</v>
      </c>
      <c r="AD75" s="298">
        <v>0.02</v>
      </c>
      <c r="AE75" s="298">
        <v>0.75</v>
      </c>
      <c r="AF75" s="324"/>
      <c r="AG75" s="324"/>
      <c r="AH75" s="324"/>
      <c r="AT75" s="1380" t="s">
        <v>545</v>
      </c>
      <c r="AU75" s="1381"/>
      <c r="AV75" s="1381"/>
      <c r="AW75" s="1381"/>
      <c r="AX75" s="1382"/>
      <c r="AY75" s="1392">
        <v>6</v>
      </c>
      <c r="AZ75" s="1393"/>
      <c r="BA75" s="1392">
        <v>2.5</v>
      </c>
      <c r="BB75" s="1393"/>
      <c r="BC75" s="1392">
        <v>5</v>
      </c>
      <c r="BD75" s="1393"/>
      <c r="BE75" s="594" t="s">
        <v>110</v>
      </c>
      <c r="BF75" s="594" t="s">
        <v>110</v>
      </c>
      <c r="BG75" s="595" t="s">
        <v>112</v>
      </c>
      <c r="BH75" s="595" t="s">
        <v>112</v>
      </c>
      <c r="BI75" s="595" t="s">
        <v>112</v>
      </c>
      <c r="BL75" s="16"/>
      <c r="BM75" s="16"/>
      <c r="BN75" s="16"/>
      <c r="BO75" s="16"/>
      <c r="BP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8"/>
      <c r="DT75" s="19"/>
      <c r="DX75" s="20"/>
      <c r="DY75" s="27"/>
      <c r="DZ75" s="100"/>
      <c r="EA75" s="77"/>
      <c r="EB75" s="77"/>
      <c r="EC75" s="44"/>
    </row>
    <row r="76" spans="1:133" ht="12.75" customHeight="1">
      <c r="A76" s="54"/>
      <c r="B76" s="67" t="s">
        <v>78</v>
      </c>
      <c r="C76" s="131">
        <f>IF($C$61="N.A.","N.A.",IF($C$69&lt;=$C$14,$C$55/($C$69*($C$72/$C$9)),$C$55*$C$14/($C$69^2*($C$72/$C$9))))</f>
        <v>2.4467244386611953E-2</v>
      </c>
      <c r="D76" s="177" t="str">
        <f>IF($C$69&lt;=$C$14,"For T&lt;=TL, CS(max) = SD1/(T*(R/I)), ASCE 7-10 Eqn. 12.8-3","For T&gt;TL, CS(max) = SD1*TL/(T^2*(R/I)), ASCE 7-10 Eqn. 12.8-4")</f>
        <v>For T&lt;=TL, CS(max) = SD1/(T*(R/I)), ASCE 7-10 Eqn. 12.8-3</v>
      </c>
      <c r="E76" s="67"/>
      <c r="F76" s="132"/>
      <c r="G76" s="105"/>
      <c r="H76" s="208"/>
      <c r="I76" s="314"/>
      <c r="J76" s="33"/>
      <c r="K76" s="507" t="s">
        <v>296</v>
      </c>
      <c r="L76" s="57"/>
      <c r="M76" s="77"/>
      <c r="N76" s="77"/>
      <c r="O76" s="77"/>
      <c r="P76" s="70"/>
      <c r="T76" s="342" t="s">
        <v>315</v>
      </c>
      <c r="U76" s="404" t="s">
        <v>129</v>
      </c>
      <c r="V76" s="359">
        <v>5.5</v>
      </c>
      <c r="W76" s="359">
        <v>3</v>
      </c>
      <c r="X76" s="359">
        <v>5</v>
      </c>
      <c r="Y76" s="297" t="s">
        <v>110</v>
      </c>
      <c r="Z76" s="297" t="s">
        <v>110</v>
      </c>
      <c r="AA76" s="297" t="s">
        <v>110</v>
      </c>
      <c r="AB76" s="297" t="s">
        <v>110</v>
      </c>
      <c r="AC76" s="297" t="s">
        <v>110</v>
      </c>
      <c r="AD76" s="297">
        <v>0.02</v>
      </c>
      <c r="AE76" s="297">
        <v>0.75</v>
      </c>
      <c r="AF76" s="324"/>
      <c r="AG76" s="324"/>
      <c r="AH76" s="324"/>
      <c r="AT76" s="1380" t="s">
        <v>546</v>
      </c>
      <c r="AU76" s="1381"/>
      <c r="AV76" s="1381"/>
      <c r="AW76" s="1381"/>
      <c r="AX76" s="1382"/>
      <c r="AY76" s="1392">
        <v>5.5</v>
      </c>
      <c r="AZ76" s="1393"/>
      <c r="BA76" s="1392">
        <v>3</v>
      </c>
      <c r="BB76" s="1393"/>
      <c r="BC76" s="1392">
        <v>5</v>
      </c>
      <c r="BD76" s="1393"/>
      <c r="BE76" s="594" t="s">
        <v>110</v>
      </c>
      <c r="BF76" s="594" t="s">
        <v>110</v>
      </c>
      <c r="BG76" s="594" t="s">
        <v>110</v>
      </c>
      <c r="BH76" s="594" t="s">
        <v>110</v>
      </c>
      <c r="BI76" s="594" t="s">
        <v>110</v>
      </c>
      <c r="BL76" s="16"/>
      <c r="BM76" s="16"/>
      <c r="BN76" s="16"/>
      <c r="BO76" s="16"/>
      <c r="BP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8"/>
      <c r="DT76" s="19"/>
      <c r="DX76" s="20"/>
      <c r="DY76" s="27"/>
      <c r="DZ76" s="100"/>
      <c r="EA76" s="77"/>
      <c r="EB76" s="77"/>
      <c r="EC76" s="44"/>
    </row>
    <row r="77" spans="1:133" ht="12.75" customHeight="1">
      <c r="A77" s="80"/>
      <c r="B77" s="67" t="s">
        <v>49</v>
      </c>
      <c r="C77" s="133">
        <f>IF($C$61="N.A.","N.A.",IF($C$13&lt;0.6,MAX(0.044*$C$54*$C$9,0.01),0.5*$C$13/($C$72/$C$9)))</f>
        <v>0.01</v>
      </c>
      <c r="D77" s="177" t="str">
        <f>IF($C$13&lt;0.6,"CS(min) = 0.044*SDS*I &gt;= 0.01, ASCE 7-10 Eqn. 12.8-5","CS(min) = 0.5*S1/(R/I), ASCE 7-10 Eqn. 12.8-6")</f>
        <v>CS(min) = 0.044*SDS*I &gt;= 0.01, ASCE 7-10 Eqn. 12.8-5</v>
      </c>
      <c r="E77" s="55"/>
      <c r="F77" s="132"/>
      <c r="G77" s="105"/>
      <c r="H77" s="208"/>
      <c r="I77" s="314"/>
      <c r="J77" s="33"/>
      <c r="K77" s="507" t="s">
        <v>297</v>
      </c>
      <c r="L77" s="57"/>
      <c r="M77" s="77"/>
      <c r="N77" s="77"/>
      <c r="O77" s="77"/>
      <c r="P77" s="70"/>
      <c r="T77" s="325" t="s">
        <v>316</v>
      </c>
      <c r="U77" s="404" t="s">
        <v>130</v>
      </c>
      <c r="V77" s="359">
        <v>4</v>
      </c>
      <c r="W77" s="359">
        <v>3</v>
      </c>
      <c r="X77" s="359">
        <v>3.5</v>
      </c>
      <c r="Y77" s="297" t="s">
        <v>110</v>
      </c>
      <c r="Z77" s="297" t="s">
        <v>110</v>
      </c>
      <c r="AA77" s="297" t="s">
        <v>112</v>
      </c>
      <c r="AB77" s="297" t="s">
        <v>112</v>
      </c>
      <c r="AC77" s="297" t="s">
        <v>112</v>
      </c>
      <c r="AD77" s="297">
        <v>0.02</v>
      </c>
      <c r="AE77" s="297">
        <v>0.75</v>
      </c>
      <c r="AF77" s="303"/>
      <c r="AG77" s="303"/>
      <c r="AH77" s="324"/>
      <c r="AI77" s="110"/>
      <c r="AJ77" s="44"/>
      <c r="AK77" s="177"/>
      <c r="AT77" s="1380" t="s">
        <v>547</v>
      </c>
      <c r="AU77" s="1381"/>
      <c r="AV77" s="1381"/>
      <c r="AW77" s="1381"/>
      <c r="AX77" s="1382"/>
      <c r="AY77" s="1392">
        <v>4</v>
      </c>
      <c r="AZ77" s="1393"/>
      <c r="BA77" s="1392">
        <v>3</v>
      </c>
      <c r="BB77" s="1393"/>
      <c r="BC77" s="1392">
        <v>3.5</v>
      </c>
      <c r="BD77" s="1393"/>
      <c r="BE77" s="597" t="s">
        <v>110</v>
      </c>
      <c r="BF77" s="597" t="s">
        <v>110</v>
      </c>
      <c r="BG77" s="598" t="s">
        <v>112</v>
      </c>
      <c r="BH77" s="598" t="s">
        <v>112</v>
      </c>
      <c r="BI77" s="598" t="s">
        <v>112</v>
      </c>
      <c r="BL77" s="16"/>
      <c r="BM77" s="16"/>
      <c r="BN77" s="16"/>
      <c r="BO77" s="16"/>
      <c r="BP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8"/>
      <c r="DT77" s="19"/>
      <c r="DX77" s="20"/>
      <c r="DY77" s="27"/>
      <c r="DZ77" s="100"/>
      <c r="EA77" s="77"/>
      <c r="EB77" s="77"/>
      <c r="EC77" s="44"/>
    </row>
    <row r="78" spans="1:133" ht="12.75" customHeight="1">
      <c r="A78" s="80"/>
      <c r="B78" s="68" t="s">
        <v>82</v>
      </c>
      <c r="C78" s="109">
        <f>IF($C$61="N.A.","N.A",IF(AND($C$77&lt;$C$75,$C$75&lt;$C$76),$C$75,IF($C$75&lt;$C$77,$C$77,IF($C$77&gt;=$C$76,$C$77,$C$76))))</f>
        <v>2.4467244386611953E-2</v>
      </c>
      <c r="D78" s="55" t="s">
        <v>83</v>
      </c>
      <c r="E78" s="67"/>
      <c r="F78" s="135"/>
      <c r="G78" s="105"/>
      <c r="H78" s="105"/>
      <c r="I78" s="313"/>
      <c r="J78" s="33"/>
      <c r="K78" s="507" t="s">
        <v>298</v>
      </c>
      <c r="L78" s="57"/>
      <c r="M78" s="77"/>
      <c r="N78" s="77"/>
      <c r="O78" s="77"/>
      <c r="P78" s="70"/>
      <c r="T78" s="325" t="s">
        <v>317</v>
      </c>
      <c r="U78" s="404" t="s">
        <v>431</v>
      </c>
      <c r="V78" s="359">
        <v>8</v>
      </c>
      <c r="W78" s="359">
        <v>2.5</v>
      </c>
      <c r="X78" s="359">
        <v>5</v>
      </c>
      <c r="Y78" s="297" t="s">
        <v>110</v>
      </c>
      <c r="Z78" s="297" t="s">
        <v>110</v>
      </c>
      <c r="AA78" s="297" t="s">
        <v>110</v>
      </c>
      <c r="AB78" s="297" t="s">
        <v>110</v>
      </c>
      <c r="AC78" s="297" t="s">
        <v>110</v>
      </c>
      <c r="AD78" s="297">
        <v>0.02</v>
      </c>
      <c r="AE78" s="297">
        <v>0.75</v>
      </c>
      <c r="AF78" s="324"/>
      <c r="AG78" s="324"/>
      <c r="AH78" s="324"/>
      <c r="AT78" s="1380" t="s">
        <v>548</v>
      </c>
      <c r="AU78" s="1381"/>
      <c r="AV78" s="1381"/>
      <c r="AW78" s="1381"/>
      <c r="AX78" s="1382"/>
      <c r="AY78" s="1392">
        <v>8</v>
      </c>
      <c r="AZ78" s="1393"/>
      <c r="BA78" s="1392">
        <v>2.5</v>
      </c>
      <c r="BB78" s="1393"/>
      <c r="BC78" s="1392">
        <v>5</v>
      </c>
      <c r="BD78" s="1393"/>
      <c r="BE78" s="599" t="s">
        <v>110</v>
      </c>
      <c r="BF78" s="599" t="s">
        <v>110</v>
      </c>
      <c r="BG78" s="599" t="s">
        <v>110</v>
      </c>
      <c r="BH78" s="599" t="s">
        <v>110</v>
      </c>
      <c r="BI78" s="599" t="s">
        <v>110</v>
      </c>
      <c r="BL78" s="16"/>
      <c r="BM78" s="16"/>
      <c r="BN78" s="16"/>
      <c r="BO78" s="16"/>
      <c r="BP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8"/>
      <c r="DT78" s="19"/>
      <c r="DX78" s="20"/>
      <c r="DY78" s="27"/>
      <c r="DZ78" s="100"/>
      <c r="EA78" s="77"/>
      <c r="EB78" s="77"/>
      <c r="EC78" s="44"/>
    </row>
    <row r="79" spans="1:133" ht="12.75" customHeight="1">
      <c r="A79" s="80"/>
      <c r="B79" s="55"/>
      <c r="C79" s="55"/>
      <c r="D79" s="55"/>
      <c r="E79" s="55"/>
      <c r="F79" s="55"/>
      <c r="G79" s="55"/>
      <c r="H79" s="55"/>
      <c r="I79" s="90"/>
      <c r="J79" s="33"/>
      <c r="K79" s="507" t="s">
        <v>299</v>
      </c>
      <c r="L79" s="57"/>
      <c r="M79" s="77"/>
      <c r="N79" s="77"/>
      <c r="O79" s="77"/>
      <c r="P79" s="70"/>
      <c r="T79" s="326" t="s">
        <v>318</v>
      </c>
      <c r="U79" s="407" t="s">
        <v>447</v>
      </c>
      <c r="V79" s="367">
        <v>8</v>
      </c>
      <c r="W79" s="367">
        <v>2.5</v>
      </c>
      <c r="X79" s="367">
        <v>6.5</v>
      </c>
      <c r="Y79" s="322" t="s">
        <v>110</v>
      </c>
      <c r="Z79" s="322" t="s">
        <v>110</v>
      </c>
      <c r="AA79" s="322" t="s">
        <v>110</v>
      </c>
      <c r="AB79" s="322" t="s">
        <v>110</v>
      </c>
      <c r="AC79" s="322" t="s">
        <v>110</v>
      </c>
      <c r="AD79" s="322">
        <v>0.02</v>
      </c>
      <c r="AE79" s="322">
        <v>0.75</v>
      </c>
      <c r="AF79" s="324"/>
      <c r="AG79" s="324"/>
      <c r="AH79" s="324"/>
      <c r="AT79" s="1380" t="s">
        <v>549</v>
      </c>
      <c r="AU79" s="1381"/>
      <c r="AV79" s="1381"/>
      <c r="AW79" s="1381"/>
      <c r="AX79" s="1382"/>
      <c r="AY79" s="1392">
        <v>8</v>
      </c>
      <c r="AZ79" s="1393"/>
      <c r="BA79" s="1392">
        <v>2.5</v>
      </c>
      <c r="BB79" s="1393"/>
      <c r="BC79" s="1392">
        <v>6.5</v>
      </c>
      <c r="BD79" s="1393"/>
      <c r="BE79" s="597" t="s">
        <v>110</v>
      </c>
      <c r="BF79" s="597" t="s">
        <v>110</v>
      </c>
      <c r="BG79" s="597" t="s">
        <v>110</v>
      </c>
      <c r="BH79" s="597" t="s">
        <v>110</v>
      </c>
      <c r="BI79" s="597" t="s">
        <v>110</v>
      </c>
      <c r="BL79" s="16"/>
      <c r="BM79" s="16"/>
      <c r="BN79" s="16"/>
      <c r="BO79" s="16"/>
      <c r="BP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8"/>
      <c r="DT79" s="19"/>
      <c r="DX79" s="20"/>
      <c r="DY79" s="27"/>
      <c r="DZ79" s="100"/>
      <c r="EA79" s="77"/>
      <c r="EB79" s="77"/>
      <c r="EC79" s="44"/>
    </row>
    <row r="80" spans="1:133" ht="12.75" customHeight="1">
      <c r="A80" s="54" t="s">
        <v>59</v>
      </c>
      <c r="B80" s="55"/>
      <c r="C80" s="55"/>
      <c r="D80" s="55"/>
      <c r="E80" s="138"/>
      <c r="F80" s="55"/>
      <c r="G80" s="105"/>
      <c r="H80" s="206"/>
      <c r="I80" s="309"/>
      <c r="J80" s="33"/>
      <c r="K80" s="507" t="s">
        <v>300</v>
      </c>
      <c r="L80" s="57"/>
      <c r="M80" s="77"/>
      <c r="N80" s="77"/>
      <c r="O80" s="77"/>
      <c r="P80" s="70"/>
      <c r="T80" s="343" t="s">
        <v>322</v>
      </c>
      <c r="U80" s="366"/>
      <c r="V80" s="366"/>
      <c r="W80" s="366"/>
      <c r="X80" s="366"/>
      <c r="Y80" s="366"/>
      <c r="Z80" s="366"/>
      <c r="AA80" s="366"/>
      <c r="AB80" s="366"/>
      <c r="AC80" s="344"/>
      <c r="AD80" s="470"/>
      <c r="AE80" s="344"/>
      <c r="AF80" s="324"/>
      <c r="AG80" s="324"/>
      <c r="AT80" s="612" t="s">
        <v>322</v>
      </c>
      <c r="AU80" s="604"/>
      <c r="AV80" s="604"/>
      <c r="AW80" s="604"/>
      <c r="AX80" s="604"/>
      <c r="AY80" s="591"/>
      <c r="AZ80" s="591"/>
      <c r="BA80" s="591"/>
      <c r="BB80" s="591"/>
      <c r="BC80" s="591"/>
      <c r="BD80" s="591"/>
      <c r="BE80" s="591"/>
      <c r="BF80" s="591"/>
      <c r="BG80" s="591"/>
      <c r="BH80" s="591"/>
      <c r="BI80" s="592"/>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8"/>
      <c r="DT80" s="19"/>
      <c r="DX80" s="20"/>
      <c r="DY80" s="27"/>
      <c r="DZ80" s="100"/>
      <c r="EA80" s="77"/>
      <c r="EB80" s="77"/>
      <c r="EC80" s="44"/>
    </row>
    <row r="81" spans="1:133" ht="12.75" customHeight="1">
      <c r="A81" s="140"/>
      <c r="B81" s="68" t="s">
        <v>61</v>
      </c>
      <c r="C81" s="146">
        <f>IF($C$61="N.A.","N.A.",$C$78*$D$42)</f>
        <v>0.68263611838647342</v>
      </c>
      <c r="D81" s="304" t="s">
        <v>473</v>
      </c>
      <c r="E81" s="55"/>
      <c r="F81" s="55"/>
      <c r="G81" s="208"/>
      <c r="H81" s="139"/>
      <c r="I81" s="315"/>
      <c r="J81" s="33"/>
      <c r="K81" s="507" t="s">
        <v>301</v>
      </c>
      <c r="L81" s="57"/>
      <c r="M81" s="77"/>
      <c r="N81" s="77"/>
      <c r="O81" s="77"/>
      <c r="P81" s="70"/>
      <c r="T81" s="357" t="s">
        <v>323</v>
      </c>
      <c r="U81" s="403" t="s">
        <v>421</v>
      </c>
      <c r="V81" s="358">
        <v>6</v>
      </c>
      <c r="W81" s="358">
        <v>2.5</v>
      </c>
      <c r="X81" s="358">
        <v>5</v>
      </c>
      <c r="Y81" s="296" t="s">
        <v>110</v>
      </c>
      <c r="Z81" s="296" t="s">
        <v>110</v>
      </c>
      <c r="AA81" s="296">
        <v>35</v>
      </c>
      <c r="AB81" s="296" t="s">
        <v>112</v>
      </c>
      <c r="AC81" s="296" t="s">
        <v>112</v>
      </c>
      <c r="AD81" s="299">
        <v>0.02</v>
      </c>
      <c r="AE81" s="299">
        <v>0.75</v>
      </c>
      <c r="AF81" s="324"/>
      <c r="AG81" s="324"/>
      <c r="AT81" s="1380" t="s">
        <v>550</v>
      </c>
      <c r="AU81" s="1381"/>
      <c r="AV81" s="1381"/>
      <c r="AW81" s="1381"/>
      <c r="AX81" s="1382"/>
      <c r="AY81" s="1392">
        <v>6</v>
      </c>
      <c r="AZ81" s="1393"/>
      <c r="BA81" s="1392">
        <v>2.5</v>
      </c>
      <c r="BB81" s="1393"/>
      <c r="BC81" s="1392">
        <v>5</v>
      </c>
      <c r="BD81" s="1393"/>
      <c r="BE81" s="593" t="s">
        <v>110</v>
      </c>
      <c r="BF81" s="593" t="s">
        <v>110</v>
      </c>
      <c r="BG81" s="596">
        <v>35</v>
      </c>
      <c r="BH81" s="595" t="s">
        <v>112</v>
      </c>
      <c r="BI81" s="613" t="s">
        <v>551</v>
      </c>
      <c r="BL81" s="16"/>
      <c r="BM81" s="16"/>
      <c r="BN81" s="16"/>
      <c r="BO81" s="16"/>
      <c r="BP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8"/>
      <c r="DT81" s="19"/>
      <c r="DX81" s="20"/>
      <c r="DY81" s="27"/>
      <c r="DZ81" s="100"/>
      <c r="EA81" s="77"/>
      <c r="EB81" s="77"/>
      <c r="EC81" s="44"/>
    </row>
    <row r="82" spans="1:133" ht="12.75" customHeight="1">
      <c r="A82" s="316"/>
      <c r="B82" s="132"/>
      <c r="C82" s="204"/>
      <c r="D82" s="55"/>
      <c r="E82" s="105"/>
      <c r="F82" s="208"/>
      <c r="G82" s="105"/>
      <c r="H82" s="105"/>
      <c r="I82" s="313"/>
      <c r="J82" s="33"/>
      <c r="K82" s="507" t="s">
        <v>302</v>
      </c>
      <c r="L82" s="57"/>
      <c r="M82" s="77"/>
      <c r="N82" s="77"/>
      <c r="O82" s="77"/>
      <c r="P82" s="70"/>
      <c r="T82" s="325" t="s">
        <v>324</v>
      </c>
      <c r="U82" s="404" t="s">
        <v>125</v>
      </c>
      <c r="V82" s="359">
        <v>6.5</v>
      </c>
      <c r="W82" s="359">
        <v>2.5</v>
      </c>
      <c r="X82" s="359">
        <v>5</v>
      </c>
      <c r="Y82" s="297" t="s">
        <v>110</v>
      </c>
      <c r="Z82" s="297" t="s">
        <v>110</v>
      </c>
      <c r="AA82" s="297">
        <v>160</v>
      </c>
      <c r="AB82" s="297">
        <v>100</v>
      </c>
      <c r="AC82" s="297">
        <v>100</v>
      </c>
      <c r="AD82" s="297">
        <v>0.02</v>
      </c>
      <c r="AE82" s="297">
        <v>0.75</v>
      </c>
      <c r="AF82" s="324"/>
      <c r="AG82" s="324"/>
      <c r="AT82" s="1380" t="s">
        <v>552</v>
      </c>
      <c r="AU82" s="1381"/>
      <c r="AV82" s="1381"/>
      <c r="AW82" s="1381"/>
      <c r="AX82" s="1382"/>
      <c r="AY82" s="1392">
        <v>6.5</v>
      </c>
      <c r="AZ82" s="1393"/>
      <c r="BA82" s="1392">
        <v>2.5</v>
      </c>
      <c r="BB82" s="1393"/>
      <c r="BC82" s="1392">
        <v>5</v>
      </c>
      <c r="BD82" s="1393"/>
      <c r="BE82" s="594" t="s">
        <v>110</v>
      </c>
      <c r="BF82" s="594" t="s">
        <v>110</v>
      </c>
      <c r="BG82" s="596">
        <v>160</v>
      </c>
      <c r="BH82" s="596">
        <v>100</v>
      </c>
      <c r="BI82" s="596">
        <v>100</v>
      </c>
      <c r="BL82" s="16"/>
      <c r="BM82" s="16"/>
      <c r="BN82" s="16"/>
      <c r="BO82" s="16"/>
      <c r="BP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8"/>
      <c r="DT82" s="19"/>
      <c r="DX82" s="20"/>
      <c r="DY82" s="27"/>
      <c r="DZ82" s="100"/>
      <c r="EA82" s="77"/>
      <c r="EB82" s="77"/>
      <c r="EC82" s="44"/>
    </row>
    <row r="83" spans="1:133" ht="12.75" customHeight="1">
      <c r="A83" s="140" t="s">
        <v>156</v>
      </c>
      <c r="B83" s="55"/>
      <c r="C83" s="55"/>
      <c r="D83" s="55"/>
      <c r="E83" s="55"/>
      <c r="F83" s="55"/>
      <c r="G83" s="55"/>
      <c r="H83" s="55"/>
      <c r="I83" s="90"/>
      <c r="J83" s="33"/>
      <c r="K83" s="507" t="s">
        <v>303</v>
      </c>
      <c r="L83" s="57"/>
      <c r="M83" s="77"/>
      <c r="N83" s="77"/>
      <c r="O83" s="77"/>
      <c r="P83" s="70"/>
      <c r="T83" s="325" t="s">
        <v>325</v>
      </c>
      <c r="U83" s="404" t="s">
        <v>131</v>
      </c>
      <c r="V83" s="359">
        <v>3</v>
      </c>
      <c r="W83" s="359">
        <v>3</v>
      </c>
      <c r="X83" s="359">
        <v>2.5</v>
      </c>
      <c r="Y83" s="297" t="s">
        <v>110</v>
      </c>
      <c r="Z83" s="297">
        <v>160</v>
      </c>
      <c r="AA83" s="297" t="s">
        <v>112</v>
      </c>
      <c r="AB83" s="297" t="s">
        <v>112</v>
      </c>
      <c r="AC83" s="297" t="s">
        <v>112</v>
      </c>
      <c r="AD83" s="297">
        <v>0.02</v>
      </c>
      <c r="AE83" s="297">
        <v>0.75</v>
      </c>
      <c r="AT83" s="1380" t="s">
        <v>553</v>
      </c>
      <c r="AU83" s="1381"/>
      <c r="AV83" s="1381"/>
      <c r="AW83" s="1381"/>
      <c r="AX83" s="1382"/>
      <c r="AY83" s="1392">
        <v>3</v>
      </c>
      <c r="AZ83" s="1393"/>
      <c r="BA83" s="1392">
        <v>3</v>
      </c>
      <c r="BB83" s="1393"/>
      <c r="BC83" s="1392">
        <v>2.5</v>
      </c>
      <c r="BD83" s="1393"/>
      <c r="BE83" s="594" t="s">
        <v>110</v>
      </c>
      <c r="BF83" s="596">
        <v>160</v>
      </c>
      <c r="BG83" s="595" t="s">
        <v>112</v>
      </c>
      <c r="BH83" s="595" t="s">
        <v>112</v>
      </c>
      <c r="BI83" s="595" t="s">
        <v>112</v>
      </c>
      <c r="BL83" s="16"/>
      <c r="BM83" s="16"/>
      <c r="BN83" s="16"/>
      <c r="BO83" s="16"/>
      <c r="BP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8"/>
      <c r="DT83" s="19"/>
      <c r="DX83" s="20"/>
      <c r="DY83" s="27"/>
      <c r="DZ83" s="100"/>
      <c r="EA83" s="77"/>
      <c r="EB83" s="77"/>
      <c r="EC83" s="44"/>
    </row>
    <row r="84" spans="1:133" ht="12.75" customHeight="1">
      <c r="A84" s="80"/>
      <c r="B84" s="55"/>
      <c r="C84" s="67" t="s">
        <v>100</v>
      </c>
      <c r="D84" s="146">
        <f>IF($C$61="N.A.","N.A.",IF($C$69&lt;=0.5,1,IF(AND($C$69&gt;0.5,$C$69&lt;2.5),(2-1)*($C$69-0.5)/(2.5-0.5)+1,2)))</f>
        <v>1.1927688366598874</v>
      </c>
      <c r="E84" s="55" t="s">
        <v>3</v>
      </c>
      <c r="F84" s="55"/>
      <c r="G84" s="55"/>
      <c r="H84" s="55"/>
      <c r="I84" s="90"/>
      <c r="J84" s="33"/>
      <c r="K84" s="507" t="s">
        <v>304</v>
      </c>
      <c r="L84" s="57"/>
      <c r="M84" s="77"/>
      <c r="N84" s="77"/>
      <c r="O84" s="77"/>
      <c r="P84" s="70"/>
      <c r="T84" s="325" t="s">
        <v>326</v>
      </c>
      <c r="U84" s="404" t="s">
        <v>331</v>
      </c>
      <c r="V84" s="359">
        <v>3.5</v>
      </c>
      <c r="W84" s="359">
        <v>3</v>
      </c>
      <c r="X84" s="359">
        <v>3</v>
      </c>
      <c r="Y84" s="297" t="s">
        <v>110</v>
      </c>
      <c r="Z84" s="297" t="s">
        <v>110</v>
      </c>
      <c r="AA84" s="297" t="s">
        <v>112</v>
      </c>
      <c r="AB84" s="297" t="s">
        <v>112</v>
      </c>
      <c r="AC84" s="297" t="s">
        <v>112</v>
      </c>
      <c r="AD84" s="297">
        <v>0.02</v>
      </c>
      <c r="AE84" s="297">
        <v>0.75</v>
      </c>
      <c r="AT84" s="1380" t="s">
        <v>554</v>
      </c>
      <c r="AU84" s="1381"/>
      <c r="AV84" s="1381"/>
      <c r="AW84" s="1381"/>
      <c r="AX84" s="1382"/>
      <c r="AY84" s="1392">
        <v>3.5</v>
      </c>
      <c r="AZ84" s="1393"/>
      <c r="BA84" s="1392">
        <v>3</v>
      </c>
      <c r="BB84" s="1393"/>
      <c r="BC84" s="1392">
        <v>3</v>
      </c>
      <c r="BD84" s="1393"/>
      <c r="BE84" s="594" t="s">
        <v>110</v>
      </c>
      <c r="BF84" s="594" t="s">
        <v>110</v>
      </c>
      <c r="BG84" s="595" t="s">
        <v>112</v>
      </c>
      <c r="BH84" s="595" t="s">
        <v>112</v>
      </c>
      <c r="BI84" s="595" t="s">
        <v>112</v>
      </c>
      <c r="BL84" s="16"/>
      <c r="BM84" s="16"/>
      <c r="BN84" s="16"/>
      <c r="BO84" s="16"/>
      <c r="BP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8"/>
      <c r="DT84" s="19"/>
      <c r="DX84" s="20"/>
      <c r="DY84" s="27"/>
      <c r="DZ84" s="100"/>
      <c r="EA84" s="77"/>
      <c r="EB84" s="77"/>
      <c r="EC84" s="44"/>
    </row>
    <row r="85" spans="1:133" ht="12.75" customHeight="1">
      <c r="A85" s="80"/>
      <c r="B85" s="55"/>
      <c r="C85" s="55"/>
      <c r="D85" s="55"/>
      <c r="E85" s="55" t="s">
        <v>4</v>
      </c>
      <c r="F85" s="55"/>
      <c r="G85" s="55"/>
      <c r="H85" s="55"/>
      <c r="I85" s="90"/>
      <c r="J85" s="169"/>
      <c r="K85" s="507" t="s">
        <v>305</v>
      </c>
      <c r="L85" s="169"/>
      <c r="M85" s="169"/>
      <c r="N85" s="77"/>
      <c r="O85" s="77"/>
      <c r="P85" s="70"/>
      <c r="T85" s="325" t="s">
        <v>327</v>
      </c>
      <c r="U85" s="404" t="s">
        <v>425</v>
      </c>
      <c r="V85" s="359">
        <v>5.5</v>
      </c>
      <c r="W85" s="359">
        <v>2.5</v>
      </c>
      <c r="X85" s="359">
        <v>4.5</v>
      </c>
      <c r="Y85" s="297" t="s">
        <v>110</v>
      </c>
      <c r="Z85" s="297" t="s">
        <v>110</v>
      </c>
      <c r="AA85" s="297">
        <v>160</v>
      </c>
      <c r="AB85" s="297">
        <v>100</v>
      </c>
      <c r="AC85" s="297" t="s">
        <v>112</v>
      </c>
      <c r="AD85" s="297">
        <v>0.02</v>
      </c>
      <c r="AE85" s="297">
        <v>0.75</v>
      </c>
      <c r="AT85" s="1380" t="s">
        <v>555</v>
      </c>
      <c r="AU85" s="1381"/>
      <c r="AV85" s="1381"/>
      <c r="AW85" s="1381"/>
      <c r="AX85" s="1382"/>
      <c r="AY85" s="1392">
        <v>5.5</v>
      </c>
      <c r="AZ85" s="1393"/>
      <c r="BA85" s="1392">
        <v>2.5</v>
      </c>
      <c r="BB85" s="1393"/>
      <c r="BC85" s="1392">
        <v>4.5</v>
      </c>
      <c r="BD85" s="1393"/>
      <c r="BE85" s="594" t="s">
        <v>110</v>
      </c>
      <c r="BF85" s="594" t="s">
        <v>110</v>
      </c>
      <c r="BG85" s="596">
        <v>160</v>
      </c>
      <c r="BH85" s="596">
        <v>100</v>
      </c>
      <c r="BI85" s="595" t="s">
        <v>112</v>
      </c>
      <c r="BL85" s="16"/>
      <c r="BM85" s="16"/>
      <c r="BN85" s="16"/>
      <c r="BO85" s="16"/>
      <c r="BP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8"/>
      <c r="DT85" s="19"/>
      <c r="DX85" s="20"/>
      <c r="DY85" s="27"/>
      <c r="DZ85" s="100"/>
      <c r="EA85" s="77"/>
      <c r="EB85" s="77"/>
      <c r="EC85" s="44"/>
    </row>
    <row r="86" spans="1:133" ht="12.75" customHeight="1">
      <c r="A86" s="80"/>
      <c r="B86" s="55"/>
      <c r="C86" s="67" t="s">
        <v>103</v>
      </c>
      <c r="D86" s="55" t="s">
        <v>474</v>
      </c>
      <c r="E86" s="55"/>
      <c r="F86" s="55"/>
      <c r="G86" s="55"/>
      <c r="H86" s="55"/>
      <c r="I86" s="90"/>
      <c r="J86" s="169"/>
      <c r="K86" s="507" t="s">
        <v>442</v>
      </c>
      <c r="L86" s="169"/>
      <c r="M86" s="169"/>
      <c r="N86" s="77"/>
      <c r="O86" s="77"/>
      <c r="P86" s="70"/>
      <c r="T86" s="325" t="s">
        <v>328</v>
      </c>
      <c r="U86" s="404" t="s">
        <v>448</v>
      </c>
      <c r="V86" s="359">
        <v>3.5</v>
      </c>
      <c r="W86" s="359">
        <v>2.5</v>
      </c>
      <c r="X86" s="359">
        <v>3</v>
      </c>
      <c r="Y86" s="297" t="s">
        <v>110</v>
      </c>
      <c r="Z86" s="297" t="s">
        <v>110</v>
      </c>
      <c r="AA86" s="297" t="s">
        <v>112</v>
      </c>
      <c r="AB86" s="297" t="s">
        <v>112</v>
      </c>
      <c r="AC86" s="297" t="s">
        <v>112</v>
      </c>
      <c r="AD86" s="297">
        <v>0.02</v>
      </c>
      <c r="AE86" s="297">
        <v>0.75</v>
      </c>
      <c r="AT86" s="1380" t="s">
        <v>556</v>
      </c>
      <c r="AU86" s="1381"/>
      <c r="AV86" s="1381"/>
      <c r="AW86" s="1381"/>
      <c r="AX86" s="1382"/>
      <c r="AY86" s="1392">
        <v>3.5</v>
      </c>
      <c r="AZ86" s="1393"/>
      <c r="BA86" s="1392">
        <v>2.5</v>
      </c>
      <c r="BB86" s="1393"/>
      <c r="BC86" s="1392">
        <v>3</v>
      </c>
      <c r="BD86" s="1393"/>
      <c r="BE86" s="594" t="s">
        <v>110</v>
      </c>
      <c r="BF86" s="594" t="s">
        <v>110</v>
      </c>
      <c r="BG86" s="595" t="s">
        <v>112</v>
      </c>
      <c r="BH86" s="595" t="s">
        <v>112</v>
      </c>
      <c r="BI86" s="595" t="s">
        <v>112</v>
      </c>
      <c r="BL86" s="16"/>
      <c r="BM86" s="16"/>
      <c r="BN86" s="16"/>
      <c r="BO86" s="16"/>
      <c r="BP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8"/>
      <c r="DT86" s="19"/>
      <c r="DX86" s="20"/>
      <c r="DY86" s="27"/>
      <c r="DZ86" s="100"/>
      <c r="EA86" s="77"/>
      <c r="EB86" s="77"/>
      <c r="EC86" s="44"/>
    </row>
    <row r="87" spans="1:133" ht="12.75" customHeight="1">
      <c r="A87" s="80"/>
      <c r="B87" s="55"/>
      <c r="C87" s="67" t="s">
        <v>102</v>
      </c>
      <c r="D87" s="55" t="s">
        <v>475</v>
      </c>
      <c r="E87" s="55"/>
      <c r="F87" s="55"/>
      <c r="G87" s="55"/>
      <c r="H87" s="55"/>
      <c r="I87" s="168"/>
      <c r="J87" s="170"/>
      <c r="K87" s="324" t="s">
        <v>306</v>
      </c>
      <c r="L87" s="171"/>
      <c r="M87" s="172"/>
      <c r="N87" s="77"/>
      <c r="O87" s="77"/>
      <c r="P87" s="70"/>
      <c r="T87" s="325" t="s">
        <v>329</v>
      </c>
      <c r="U87" s="404" t="s">
        <v>424</v>
      </c>
      <c r="V87" s="359">
        <v>5</v>
      </c>
      <c r="W87" s="359">
        <v>3</v>
      </c>
      <c r="X87" s="359">
        <v>4.5</v>
      </c>
      <c r="Y87" s="297" t="s">
        <v>110</v>
      </c>
      <c r="Z87" s="297" t="s">
        <v>110</v>
      </c>
      <c r="AA87" s="297" t="s">
        <v>112</v>
      </c>
      <c r="AB87" s="297" t="s">
        <v>112</v>
      </c>
      <c r="AC87" s="297" t="s">
        <v>112</v>
      </c>
      <c r="AD87" s="297">
        <v>0.02</v>
      </c>
      <c r="AE87" s="297">
        <v>0.75</v>
      </c>
      <c r="AT87" s="1380" t="s">
        <v>557</v>
      </c>
      <c r="AU87" s="1381"/>
      <c r="AV87" s="1381"/>
      <c r="AW87" s="1381"/>
      <c r="AX87" s="1382"/>
      <c r="AY87" s="1392">
        <v>5</v>
      </c>
      <c r="AZ87" s="1393"/>
      <c r="BA87" s="1392">
        <v>3</v>
      </c>
      <c r="BB87" s="1393"/>
      <c r="BC87" s="1392">
        <v>4.5</v>
      </c>
      <c r="BD87" s="1393"/>
      <c r="BE87" s="597" t="s">
        <v>110</v>
      </c>
      <c r="BF87" s="597" t="s">
        <v>110</v>
      </c>
      <c r="BG87" s="598" t="s">
        <v>112</v>
      </c>
      <c r="BH87" s="598" t="s">
        <v>112</v>
      </c>
      <c r="BI87" s="598" t="s">
        <v>112</v>
      </c>
      <c r="BL87" s="16"/>
      <c r="BM87" s="16"/>
      <c r="BN87" s="16"/>
      <c r="BO87" s="16"/>
      <c r="BP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8"/>
      <c r="DT87" s="19"/>
      <c r="DX87" s="20"/>
      <c r="DY87" s="27"/>
      <c r="DZ87" s="100"/>
      <c r="EA87" s="77"/>
      <c r="EB87" s="77"/>
      <c r="EC87" s="44"/>
    </row>
    <row r="88" spans="1:133" ht="12.75" customHeight="1">
      <c r="A88" s="80"/>
      <c r="B88" s="55"/>
      <c r="C88" s="55"/>
      <c r="D88" s="55"/>
      <c r="E88" s="55"/>
      <c r="F88" s="55"/>
      <c r="G88" s="55"/>
      <c r="H88" s="55"/>
      <c r="I88" s="168"/>
      <c r="J88" s="173"/>
      <c r="K88" s="324" t="s">
        <v>307</v>
      </c>
      <c r="L88" s="173"/>
      <c r="M88" s="169"/>
      <c r="N88" s="33"/>
      <c r="O88" s="33"/>
      <c r="P88" s="70"/>
      <c r="T88" s="325" t="s">
        <v>330</v>
      </c>
      <c r="U88" s="404" t="s">
        <v>126</v>
      </c>
      <c r="V88" s="359">
        <v>5.5</v>
      </c>
      <c r="W88" s="359">
        <v>2.5</v>
      </c>
      <c r="X88" s="359">
        <v>4.5</v>
      </c>
      <c r="Y88" s="297" t="s">
        <v>110</v>
      </c>
      <c r="Z88" s="297" t="s">
        <v>110</v>
      </c>
      <c r="AA88" s="297" t="s">
        <v>112</v>
      </c>
      <c r="AB88" s="297" t="s">
        <v>112</v>
      </c>
      <c r="AC88" s="297" t="s">
        <v>112</v>
      </c>
      <c r="AD88" s="297">
        <v>0.02</v>
      </c>
      <c r="AE88" s="297">
        <v>0.75</v>
      </c>
      <c r="AT88" s="1380" t="s">
        <v>558</v>
      </c>
      <c r="AU88" s="1381"/>
      <c r="AV88" s="1381"/>
      <c r="AW88" s="1381"/>
      <c r="AX88" s="1382"/>
      <c r="AY88" s="1392">
        <v>5.5</v>
      </c>
      <c r="AZ88" s="1393"/>
      <c r="BA88" s="1392">
        <v>2.5</v>
      </c>
      <c r="BB88" s="1393"/>
      <c r="BC88" s="1392">
        <v>4.5</v>
      </c>
      <c r="BD88" s="1393"/>
      <c r="BE88" s="599" t="s">
        <v>110</v>
      </c>
      <c r="BF88" s="599" t="s">
        <v>110</v>
      </c>
      <c r="BG88" s="600" t="s">
        <v>112</v>
      </c>
      <c r="BH88" s="600" t="s">
        <v>112</v>
      </c>
      <c r="BI88" s="600" t="s">
        <v>112</v>
      </c>
      <c r="BL88" s="16"/>
      <c r="BM88" s="16"/>
      <c r="BN88" s="16"/>
      <c r="BO88" s="16"/>
      <c r="BP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8"/>
      <c r="DT88" s="19"/>
      <c r="DX88" s="20"/>
      <c r="DY88" s="27"/>
      <c r="DZ88" s="100"/>
      <c r="EA88" s="77"/>
      <c r="EB88" s="77"/>
      <c r="EC88" s="44"/>
    </row>
    <row r="89" spans="1:133" ht="12.75" customHeight="1">
      <c r="A89" s="80"/>
      <c r="B89" s="151" t="s">
        <v>88</v>
      </c>
      <c r="C89" s="151" t="s">
        <v>106</v>
      </c>
      <c r="D89" s="151" t="s">
        <v>101</v>
      </c>
      <c r="E89" s="151" t="s">
        <v>95</v>
      </c>
      <c r="F89" s="151" t="s">
        <v>97</v>
      </c>
      <c r="G89" s="152" t="s">
        <v>107</v>
      </c>
      <c r="H89" s="153" t="s">
        <v>93</v>
      </c>
      <c r="I89" s="90"/>
      <c r="J89" s="173"/>
      <c r="K89" s="507" t="s">
        <v>308</v>
      </c>
      <c r="L89" s="173"/>
      <c r="M89" s="169"/>
      <c r="N89" s="44"/>
      <c r="O89" s="100"/>
      <c r="P89" s="128"/>
      <c r="Q89" s="77"/>
      <c r="R89" s="77"/>
      <c r="S89" s="77"/>
      <c r="T89" s="343" t="s">
        <v>257</v>
      </c>
      <c r="U89" s="323"/>
      <c r="V89" s="323"/>
      <c r="W89" s="323"/>
      <c r="X89" s="323"/>
      <c r="Y89" s="323"/>
      <c r="Z89" s="323"/>
      <c r="AA89" s="323"/>
      <c r="AB89" s="323"/>
      <c r="AC89" s="344"/>
      <c r="AD89" s="473"/>
      <c r="AE89" s="474"/>
      <c r="AK89" s="77"/>
      <c r="AL89" s="77"/>
      <c r="AT89" s="612" t="s">
        <v>257</v>
      </c>
      <c r="AU89" s="604"/>
      <c r="AV89" s="604"/>
      <c r="AW89" s="604"/>
      <c r="AX89" s="604"/>
      <c r="AY89" s="591"/>
      <c r="AZ89" s="591"/>
      <c r="BA89" s="591"/>
      <c r="BB89" s="591"/>
      <c r="BC89" s="591"/>
      <c r="BD89" s="591"/>
      <c r="BE89" s="591"/>
      <c r="BF89" s="591"/>
      <c r="BG89" s="591"/>
      <c r="BH89" s="591"/>
      <c r="BI89" s="592"/>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8"/>
      <c r="DT89" s="19"/>
      <c r="DX89" s="20"/>
      <c r="DY89" s="27"/>
      <c r="DZ89" s="33"/>
      <c r="EA89" s="77"/>
      <c r="EB89" s="77"/>
      <c r="EC89" s="44"/>
    </row>
    <row r="90" spans="1:133" ht="12.75" customHeight="1">
      <c r="A90" s="80"/>
      <c r="B90" s="154" t="s">
        <v>98</v>
      </c>
      <c r="C90" s="157" t="s">
        <v>94</v>
      </c>
      <c r="D90" s="156" t="s">
        <v>91</v>
      </c>
      <c r="E90" s="156" t="s">
        <v>90</v>
      </c>
      <c r="F90" s="157" t="s">
        <v>96</v>
      </c>
      <c r="G90" s="158" t="s">
        <v>94</v>
      </c>
      <c r="H90" s="155" t="s">
        <v>89</v>
      </c>
      <c r="I90" s="90"/>
      <c r="J90" s="174"/>
      <c r="K90" s="507" t="s">
        <v>309</v>
      </c>
      <c r="L90" s="173"/>
      <c r="M90" s="169"/>
      <c r="N90" s="44"/>
      <c r="O90" s="100"/>
      <c r="P90" s="128"/>
      <c r="Q90" s="77"/>
      <c r="R90" s="77"/>
      <c r="S90" s="77"/>
      <c r="T90" s="357" t="s">
        <v>332</v>
      </c>
      <c r="U90" s="403" t="s">
        <v>333</v>
      </c>
      <c r="V90" s="358">
        <v>4.5</v>
      </c>
      <c r="W90" s="358">
        <v>2.5</v>
      </c>
      <c r="X90" s="358">
        <v>4</v>
      </c>
      <c r="Y90" s="296" t="s">
        <v>110</v>
      </c>
      <c r="Z90" s="296" t="s">
        <v>112</v>
      </c>
      <c r="AA90" s="296" t="s">
        <v>112</v>
      </c>
      <c r="AB90" s="296" t="s">
        <v>112</v>
      </c>
      <c r="AC90" s="296" t="s">
        <v>112</v>
      </c>
      <c r="AD90" s="299">
        <v>0.02</v>
      </c>
      <c r="AE90" s="299">
        <v>0.75</v>
      </c>
      <c r="AK90" s="77"/>
      <c r="AL90" s="77"/>
      <c r="AT90" s="1380" t="s">
        <v>559</v>
      </c>
      <c r="AU90" s="1381"/>
      <c r="AV90" s="1381"/>
      <c r="AW90" s="1381"/>
      <c r="AX90" s="1382"/>
      <c r="AY90" s="1392">
        <v>4.5</v>
      </c>
      <c r="AZ90" s="1393"/>
      <c r="BA90" s="1392">
        <v>2.5</v>
      </c>
      <c r="BB90" s="1393"/>
      <c r="BC90" s="1392">
        <v>4</v>
      </c>
      <c r="BD90" s="1393"/>
      <c r="BE90" s="599" t="s">
        <v>110</v>
      </c>
      <c r="BF90" s="600" t="s">
        <v>112</v>
      </c>
      <c r="BG90" s="600" t="s">
        <v>112</v>
      </c>
      <c r="BH90" s="600" t="s">
        <v>112</v>
      </c>
      <c r="BI90" s="600" t="s">
        <v>112</v>
      </c>
      <c r="BL90" s="16" t="str">
        <f t="shared" si="0"/>
        <v/>
      </c>
      <c r="BM90" s="16" t="str">
        <f t="shared" ref="BM90" si="5">IF(BF90=Z90,"","no!")</f>
        <v/>
      </c>
      <c r="BN90" s="16" t="str">
        <f t="shared" ref="BN90" si="6">IF(BG90=AA90,"","no!")</f>
        <v/>
      </c>
      <c r="BO90" s="16" t="str">
        <f t="shared" ref="BO90" si="7">IF(BH90=AB90,"","no!")</f>
        <v/>
      </c>
      <c r="BP90" s="16" t="str">
        <f t="shared" ref="BP90" si="8">IF(BI90=AC90,"","no!")</f>
        <v/>
      </c>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8"/>
      <c r="DT90" s="19"/>
      <c r="DX90" s="20"/>
      <c r="DY90" s="27"/>
      <c r="DZ90" s="100"/>
      <c r="EA90" s="77"/>
      <c r="EB90" s="77"/>
      <c r="EC90" s="44"/>
    </row>
    <row r="91" spans="1:133" ht="12.75" customHeight="1">
      <c r="A91" s="80"/>
      <c r="B91" s="348">
        <f t="shared" ref="B91:B105" si="9">$B26</f>
        <v>1</v>
      </c>
      <c r="C91" s="160">
        <f>$D26</f>
        <v>27.9</v>
      </c>
      <c r="D91" s="355">
        <f>IF($C$61="N.A.","",$C26^$D$84)</f>
        <v>23.284440339866229</v>
      </c>
      <c r="E91" s="159">
        <f>IF($C$61="N.A.","",$C91*$D91)</f>
        <v>649.63588548226778</v>
      </c>
      <c r="F91" s="317">
        <f>IF($C$61="N.A.","",$E91/$E$106)</f>
        <v>1</v>
      </c>
      <c r="G91" s="160">
        <f>IF($C$61="N.A.","",$F91*$C$81)</f>
        <v>0.68263611838647342</v>
      </c>
      <c r="H91" s="160">
        <f>IF($C$61="N.A.","",$G91)</f>
        <v>0.68263611838647342</v>
      </c>
      <c r="I91" s="90"/>
      <c r="J91" s="174"/>
      <c r="K91" s="507" t="s">
        <v>310</v>
      </c>
      <c r="L91" s="173"/>
      <c r="M91" s="169"/>
      <c r="N91" s="176"/>
      <c r="O91" s="100"/>
      <c r="P91" s="70"/>
      <c r="T91" s="343" t="s">
        <v>258</v>
      </c>
      <c r="U91" s="323"/>
      <c r="V91" s="323"/>
      <c r="W91" s="323"/>
      <c r="X91" s="323"/>
      <c r="Y91" s="323"/>
      <c r="Z91" s="323"/>
      <c r="AA91" s="323"/>
      <c r="AB91" s="323"/>
      <c r="AC91" s="344"/>
      <c r="AD91" s="473"/>
      <c r="AE91" s="474"/>
      <c r="AH91" s="324"/>
      <c r="AT91" s="612" t="s">
        <v>560</v>
      </c>
      <c r="AU91" s="604"/>
      <c r="AV91" s="604"/>
      <c r="AW91" s="604"/>
      <c r="AX91" s="604"/>
      <c r="AY91" s="591"/>
      <c r="AZ91" s="591"/>
      <c r="BA91" s="591"/>
      <c r="BB91" s="591"/>
      <c r="BC91" s="591"/>
      <c r="BD91" s="591"/>
      <c r="BE91" s="591"/>
      <c r="BF91" s="591"/>
      <c r="BG91" s="591"/>
      <c r="BH91" s="591"/>
      <c r="BI91" s="592"/>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8"/>
      <c r="DT91" s="19"/>
      <c r="DX91" s="20"/>
      <c r="DY91" s="27"/>
      <c r="DZ91" s="33"/>
      <c r="EA91" s="77"/>
      <c r="EB91" s="77"/>
      <c r="EC91" s="44"/>
    </row>
    <row r="92" spans="1:133" ht="12.75" customHeight="1">
      <c r="A92" s="80"/>
      <c r="B92" s="349" t="str">
        <f t="shared" si="9"/>
        <v/>
      </c>
      <c r="C92" s="162" t="str">
        <f t="shared" ref="C92:C105" si="10">IF($B92="","",$D27)</f>
        <v/>
      </c>
      <c r="D92" s="356" t="str">
        <f t="shared" ref="D92:D105" si="11">IF($C$61="N.A.","",IF($B92="","",$C27^$D$84))</f>
        <v/>
      </c>
      <c r="E92" s="161" t="str">
        <f t="shared" ref="E92:E105" si="12">IF($C$61="N.A.","",IF($B92="","",$C92*$D92))</f>
        <v/>
      </c>
      <c r="F92" s="318" t="str">
        <f t="shared" ref="F92:F105" si="13">IF($C$61="N.A.","",IF($B92="","",$E92/$E$106))</f>
        <v/>
      </c>
      <c r="G92" s="162" t="str">
        <f t="shared" ref="G92:G105" si="14">IF($C$61="N.A.","",IF($B92="","",$F92*$C$81))</f>
        <v/>
      </c>
      <c r="H92" s="162" t="str">
        <f t="shared" ref="H92:H105" si="15">IF($C$61="N.A.","",IF($B92="","",$H91+$G92))</f>
        <v/>
      </c>
      <c r="I92" s="90"/>
      <c r="J92" s="174"/>
      <c r="K92" s="507" t="s">
        <v>311</v>
      </c>
      <c r="L92" s="173"/>
      <c r="M92" s="178"/>
      <c r="N92" s="176"/>
      <c r="O92" s="100"/>
      <c r="P92" s="303"/>
      <c r="Q92" s="77"/>
      <c r="R92" s="77"/>
      <c r="T92" s="340" t="s">
        <v>334</v>
      </c>
      <c r="U92" s="471" t="s">
        <v>449</v>
      </c>
      <c r="V92" s="472">
        <v>2.5</v>
      </c>
      <c r="W92" s="472">
        <v>1.25</v>
      </c>
      <c r="X92" s="472">
        <v>2.5</v>
      </c>
      <c r="Y92" s="299">
        <v>35</v>
      </c>
      <c r="Z92" s="299">
        <v>35</v>
      </c>
      <c r="AA92" s="299">
        <v>35</v>
      </c>
      <c r="AB92" s="299">
        <v>35</v>
      </c>
      <c r="AC92" s="299">
        <v>35</v>
      </c>
      <c r="AD92" s="299">
        <v>0.02</v>
      </c>
      <c r="AE92" s="299">
        <v>0.75</v>
      </c>
      <c r="AH92" s="324"/>
      <c r="AT92" s="1380" t="s">
        <v>603</v>
      </c>
      <c r="AU92" s="1381"/>
      <c r="AV92" s="1381"/>
      <c r="AW92" s="1381"/>
      <c r="AX92" s="1382"/>
      <c r="AY92" s="1392">
        <v>2.5</v>
      </c>
      <c r="AZ92" s="1393"/>
      <c r="BA92" s="1392">
        <v>1.25</v>
      </c>
      <c r="BB92" s="1393"/>
      <c r="BC92" s="1392">
        <v>2.5</v>
      </c>
      <c r="BD92" s="1393"/>
      <c r="BE92" s="602">
        <v>35</v>
      </c>
      <c r="BF92" s="602">
        <v>35</v>
      </c>
      <c r="BG92" s="602">
        <v>35</v>
      </c>
      <c r="BH92" s="602">
        <v>35</v>
      </c>
      <c r="BI92" s="602">
        <v>35</v>
      </c>
      <c r="BL92" s="16"/>
      <c r="BM92" s="16"/>
      <c r="BN92" s="16"/>
      <c r="BO92" s="16"/>
      <c r="BP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8"/>
      <c r="DT92" s="19"/>
      <c r="DX92" s="20"/>
      <c r="DY92" s="27"/>
      <c r="DZ92" s="33"/>
      <c r="EA92" s="77"/>
      <c r="EB92" s="77"/>
      <c r="EC92" s="44"/>
    </row>
    <row r="93" spans="1:133" ht="12.75" customHeight="1">
      <c r="A93" s="80"/>
      <c r="B93" s="349" t="str">
        <f t="shared" si="9"/>
        <v/>
      </c>
      <c r="C93" s="162" t="str">
        <f t="shared" si="10"/>
        <v/>
      </c>
      <c r="D93" s="356" t="str">
        <f t="shared" si="11"/>
        <v/>
      </c>
      <c r="E93" s="161" t="str">
        <f t="shared" si="12"/>
        <v/>
      </c>
      <c r="F93" s="318" t="str">
        <f t="shared" si="13"/>
        <v/>
      </c>
      <c r="G93" s="162" t="str">
        <f t="shared" si="14"/>
        <v/>
      </c>
      <c r="H93" s="162" t="str">
        <f t="shared" si="15"/>
        <v/>
      </c>
      <c r="I93" s="90"/>
      <c r="J93" s="174"/>
      <c r="K93" s="507" t="s">
        <v>312</v>
      </c>
      <c r="L93" s="173"/>
      <c r="M93" s="179"/>
      <c r="N93" s="53"/>
      <c r="O93" s="100"/>
      <c r="P93" s="303"/>
      <c r="Q93" s="77"/>
      <c r="R93" s="77"/>
      <c r="S93" s="77"/>
      <c r="T93" s="325" t="s">
        <v>335</v>
      </c>
      <c r="U93" s="404" t="s">
        <v>450</v>
      </c>
      <c r="V93" s="359">
        <v>1.25</v>
      </c>
      <c r="W93" s="359">
        <v>1.25</v>
      </c>
      <c r="X93" s="359">
        <v>1.25</v>
      </c>
      <c r="Y93" s="297">
        <v>35</v>
      </c>
      <c r="Z93" s="297">
        <v>35</v>
      </c>
      <c r="AA93" s="297" t="s">
        <v>112</v>
      </c>
      <c r="AB93" s="297" t="s">
        <v>112</v>
      </c>
      <c r="AC93" s="297" t="s">
        <v>112</v>
      </c>
      <c r="AD93" s="297">
        <v>0.02</v>
      </c>
      <c r="AE93" s="297">
        <v>0.75</v>
      </c>
      <c r="AH93" s="303"/>
      <c r="AK93" s="77"/>
      <c r="AL93" s="77"/>
      <c r="AT93" s="1380" t="s">
        <v>604</v>
      </c>
      <c r="AU93" s="1381" t="s">
        <v>450</v>
      </c>
      <c r="AV93" s="1381" t="s">
        <v>450</v>
      </c>
      <c r="AW93" s="1381" t="s">
        <v>450</v>
      </c>
      <c r="AX93" s="1382" t="s">
        <v>450</v>
      </c>
      <c r="AY93" s="1392" t="s">
        <v>610</v>
      </c>
      <c r="AZ93" s="1393"/>
      <c r="BA93" s="1392" t="s">
        <v>610</v>
      </c>
      <c r="BB93" s="1393"/>
      <c r="BC93" s="1392" t="s">
        <v>610</v>
      </c>
      <c r="BD93" s="1393"/>
      <c r="BE93" s="596">
        <v>35</v>
      </c>
      <c r="BF93" s="596">
        <v>35</v>
      </c>
      <c r="BG93" s="598" t="s">
        <v>112</v>
      </c>
      <c r="BH93" s="595" t="s">
        <v>527</v>
      </c>
      <c r="BI93" s="595" t="s">
        <v>528</v>
      </c>
      <c r="BL93" s="16"/>
      <c r="BM93" s="16"/>
      <c r="BN93" s="16"/>
      <c r="BO93" s="16"/>
      <c r="BP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8"/>
      <c r="DT93" s="19"/>
      <c r="DX93" s="20"/>
      <c r="DY93" s="27"/>
      <c r="DZ93" s="100"/>
      <c r="EA93" s="77"/>
      <c r="EB93" s="77"/>
      <c r="EC93" s="44"/>
    </row>
    <row r="94" spans="1:133" ht="12.75" customHeight="1">
      <c r="A94" s="80"/>
      <c r="B94" s="349" t="str">
        <f t="shared" si="9"/>
        <v/>
      </c>
      <c r="C94" s="162" t="str">
        <f t="shared" si="10"/>
        <v/>
      </c>
      <c r="D94" s="133" t="str">
        <f t="shared" si="11"/>
        <v/>
      </c>
      <c r="E94" s="161" t="str">
        <f t="shared" si="12"/>
        <v/>
      </c>
      <c r="F94" s="318" t="str">
        <f t="shared" si="13"/>
        <v/>
      </c>
      <c r="G94" s="162" t="str">
        <f t="shared" si="14"/>
        <v/>
      </c>
      <c r="H94" s="162" t="str">
        <f t="shared" si="15"/>
        <v/>
      </c>
      <c r="I94" s="90"/>
      <c r="J94" s="174"/>
      <c r="K94" s="507" t="s">
        <v>313</v>
      </c>
      <c r="L94" s="173"/>
      <c r="M94" s="176"/>
      <c r="N94" s="180"/>
      <c r="O94" s="33"/>
      <c r="P94" s="303"/>
      <c r="Q94" s="77"/>
      <c r="R94" s="77"/>
      <c r="T94" s="360" t="s">
        <v>336</v>
      </c>
      <c r="U94" s="404" t="s">
        <v>137</v>
      </c>
      <c r="V94" s="361">
        <v>2.5</v>
      </c>
      <c r="W94" s="361">
        <v>1.25</v>
      </c>
      <c r="X94" s="361">
        <v>2.5</v>
      </c>
      <c r="Y94" s="298">
        <v>35</v>
      </c>
      <c r="Z94" s="298">
        <v>35</v>
      </c>
      <c r="AA94" s="298">
        <v>35</v>
      </c>
      <c r="AB94" s="298">
        <v>35</v>
      </c>
      <c r="AC94" s="298">
        <v>35</v>
      </c>
      <c r="AD94" s="125">
        <v>0.02</v>
      </c>
      <c r="AE94" s="125">
        <v>0.75</v>
      </c>
      <c r="AF94" s="47"/>
      <c r="AG94" s="47"/>
      <c r="AH94" s="324"/>
      <c r="AT94" s="1380" t="s">
        <v>605</v>
      </c>
      <c r="AU94" s="1381" t="s">
        <v>137</v>
      </c>
      <c r="AV94" s="1381" t="s">
        <v>137</v>
      </c>
      <c r="AW94" s="1381" t="s">
        <v>137</v>
      </c>
      <c r="AX94" s="1382" t="s">
        <v>137</v>
      </c>
      <c r="AY94" s="1392" t="s">
        <v>520</v>
      </c>
      <c r="AZ94" s="1393"/>
      <c r="BA94" s="1392" t="s">
        <v>610</v>
      </c>
      <c r="BB94" s="1393"/>
      <c r="BC94" s="1392" t="s">
        <v>520</v>
      </c>
      <c r="BD94" s="1393"/>
      <c r="BE94" s="601">
        <v>35</v>
      </c>
      <c r="BF94" s="601">
        <v>35</v>
      </c>
      <c r="BG94" s="601">
        <v>35</v>
      </c>
      <c r="BH94" s="601">
        <v>35</v>
      </c>
      <c r="BI94" s="601">
        <v>35</v>
      </c>
      <c r="BL94" s="16"/>
      <c r="BM94" s="16"/>
      <c r="BN94" s="16"/>
      <c r="BO94" s="16"/>
      <c r="BP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8"/>
      <c r="DT94" s="19"/>
      <c r="DX94" s="20"/>
      <c r="DY94" s="27"/>
      <c r="DZ94" s="100"/>
      <c r="EA94" s="77"/>
      <c r="EB94" s="77"/>
      <c r="EC94" s="44"/>
    </row>
    <row r="95" spans="1:133" ht="12.75" customHeight="1">
      <c r="A95" s="80"/>
      <c r="B95" s="349" t="str">
        <f t="shared" si="9"/>
        <v/>
      </c>
      <c r="C95" s="162" t="str">
        <f t="shared" si="10"/>
        <v/>
      </c>
      <c r="D95" s="131" t="str">
        <f t="shared" si="11"/>
        <v/>
      </c>
      <c r="E95" s="161" t="str">
        <f t="shared" si="12"/>
        <v/>
      </c>
      <c r="F95" s="318" t="str">
        <f t="shared" si="13"/>
        <v/>
      </c>
      <c r="G95" s="162" t="str">
        <f t="shared" si="14"/>
        <v/>
      </c>
      <c r="H95" s="162" t="str">
        <f t="shared" si="15"/>
        <v/>
      </c>
      <c r="I95" s="90"/>
      <c r="J95" s="174"/>
      <c r="K95" s="324" t="s">
        <v>314</v>
      </c>
      <c r="L95" s="173"/>
      <c r="M95" s="176"/>
      <c r="N95" s="180"/>
      <c r="O95" s="33"/>
      <c r="P95" s="70"/>
      <c r="T95" s="325" t="s">
        <v>337</v>
      </c>
      <c r="U95" s="404" t="s">
        <v>436</v>
      </c>
      <c r="V95" s="359">
        <v>1.5</v>
      </c>
      <c r="W95" s="359">
        <v>1.25</v>
      </c>
      <c r="X95" s="359">
        <v>1.5</v>
      </c>
      <c r="Y95" s="297">
        <v>35</v>
      </c>
      <c r="Z95" s="297">
        <v>35</v>
      </c>
      <c r="AA95" s="297" t="s">
        <v>112</v>
      </c>
      <c r="AB95" s="297" t="s">
        <v>112</v>
      </c>
      <c r="AC95" s="297" t="s">
        <v>112</v>
      </c>
      <c r="AD95" s="297">
        <v>0.02</v>
      </c>
      <c r="AE95" s="297">
        <v>0.75</v>
      </c>
      <c r="AF95" s="324"/>
      <c r="AG95" s="324"/>
      <c r="AH95" s="324"/>
      <c r="AT95" s="1380" t="s">
        <v>606</v>
      </c>
      <c r="AU95" s="1381" t="s">
        <v>436</v>
      </c>
      <c r="AV95" s="1381" t="s">
        <v>436</v>
      </c>
      <c r="AW95" s="1381" t="s">
        <v>436</v>
      </c>
      <c r="AX95" s="1382" t="s">
        <v>436</v>
      </c>
      <c r="AY95" s="1392" t="s">
        <v>521</v>
      </c>
      <c r="AZ95" s="1393"/>
      <c r="BA95" s="1392" t="s">
        <v>610</v>
      </c>
      <c r="BB95" s="1393"/>
      <c r="BC95" s="1392" t="s">
        <v>521</v>
      </c>
      <c r="BD95" s="1393"/>
      <c r="BE95" s="596">
        <v>35</v>
      </c>
      <c r="BF95" s="596">
        <v>35</v>
      </c>
      <c r="BG95" s="595" t="s">
        <v>112</v>
      </c>
      <c r="BH95" s="595" t="s">
        <v>112</v>
      </c>
      <c r="BI95" s="595" t="s">
        <v>112</v>
      </c>
      <c r="BL95" s="16"/>
      <c r="BM95" s="16"/>
      <c r="BN95" s="16"/>
      <c r="BO95" s="16"/>
      <c r="BP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8"/>
      <c r="DT95" s="19"/>
      <c r="DX95" s="20"/>
      <c r="DY95" s="27"/>
      <c r="DZ95" s="100"/>
      <c r="EA95" s="77"/>
      <c r="EB95" s="77"/>
      <c r="EC95" s="44"/>
    </row>
    <row r="96" spans="1:133" ht="12.75" customHeight="1">
      <c r="A96" s="80"/>
      <c r="B96" s="349" t="str">
        <f t="shared" si="9"/>
        <v/>
      </c>
      <c r="C96" s="162" t="str">
        <f t="shared" si="10"/>
        <v/>
      </c>
      <c r="D96" s="131" t="str">
        <f t="shared" si="11"/>
        <v/>
      </c>
      <c r="E96" s="161" t="str">
        <f t="shared" si="12"/>
        <v/>
      </c>
      <c r="F96" s="318" t="str">
        <f t="shared" si="13"/>
        <v/>
      </c>
      <c r="G96" s="162" t="str">
        <f t="shared" si="14"/>
        <v/>
      </c>
      <c r="H96" s="162" t="str">
        <f t="shared" si="15"/>
        <v/>
      </c>
      <c r="I96" s="90"/>
      <c r="J96" s="174"/>
      <c r="K96" s="324" t="s">
        <v>315</v>
      </c>
      <c r="L96" s="173"/>
      <c r="M96" s="176"/>
      <c r="N96" s="180"/>
      <c r="O96" s="100"/>
      <c r="P96" s="70"/>
      <c r="T96" s="325" t="s">
        <v>338</v>
      </c>
      <c r="U96" s="404" t="s">
        <v>437</v>
      </c>
      <c r="V96" s="359">
        <v>1</v>
      </c>
      <c r="W96" s="359">
        <v>1.25</v>
      </c>
      <c r="X96" s="359">
        <v>1</v>
      </c>
      <c r="Y96" s="297">
        <v>35</v>
      </c>
      <c r="Z96" s="297" t="s">
        <v>112</v>
      </c>
      <c r="AA96" s="297" t="s">
        <v>112</v>
      </c>
      <c r="AB96" s="297" t="s">
        <v>112</v>
      </c>
      <c r="AC96" s="297" t="s">
        <v>112</v>
      </c>
      <c r="AD96" s="297">
        <v>0.02</v>
      </c>
      <c r="AE96" s="297">
        <v>0.75</v>
      </c>
      <c r="AF96" s="324"/>
      <c r="AG96" s="324"/>
      <c r="AH96" s="324"/>
      <c r="AT96" s="1380" t="s">
        <v>607</v>
      </c>
      <c r="AU96" s="1381" t="s">
        <v>437</v>
      </c>
      <c r="AV96" s="1381" t="s">
        <v>437</v>
      </c>
      <c r="AW96" s="1381" t="s">
        <v>437</v>
      </c>
      <c r="AX96" s="1382" t="s">
        <v>437</v>
      </c>
      <c r="AY96" s="1392" t="s">
        <v>609</v>
      </c>
      <c r="AZ96" s="1393"/>
      <c r="BA96" s="1392" t="s">
        <v>610</v>
      </c>
      <c r="BB96" s="1393"/>
      <c r="BC96" s="1392" t="s">
        <v>609</v>
      </c>
      <c r="BD96" s="1393"/>
      <c r="BE96" s="596">
        <v>35</v>
      </c>
      <c r="BF96" s="595" t="s">
        <v>112</v>
      </c>
      <c r="BG96" s="595" t="s">
        <v>112</v>
      </c>
      <c r="BH96" s="595" t="s">
        <v>112</v>
      </c>
      <c r="BI96" s="595" t="s">
        <v>112</v>
      </c>
      <c r="BL96" s="16"/>
      <c r="BM96" s="16"/>
      <c r="BN96" s="16"/>
      <c r="BO96" s="16"/>
      <c r="BP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8"/>
      <c r="DT96" s="19"/>
    </row>
    <row r="97" spans="1:124" ht="12.75" customHeight="1">
      <c r="A97" s="80"/>
      <c r="B97" s="349" t="str">
        <f t="shared" si="9"/>
        <v/>
      </c>
      <c r="C97" s="162" t="str">
        <f t="shared" si="10"/>
        <v/>
      </c>
      <c r="D97" s="131" t="str">
        <f t="shared" si="11"/>
        <v/>
      </c>
      <c r="E97" s="161" t="str">
        <f t="shared" si="12"/>
        <v/>
      </c>
      <c r="F97" s="318" t="str">
        <f t="shared" si="13"/>
        <v/>
      </c>
      <c r="G97" s="162" t="str">
        <f t="shared" si="14"/>
        <v/>
      </c>
      <c r="H97" s="162" t="str">
        <f t="shared" si="15"/>
        <v/>
      </c>
      <c r="I97" s="90"/>
      <c r="J97" s="174"/>
      <c r="K97" s="507" t="s">
        <v>316</v>
      </c>
      <c r="L97" s="173"/>
      <c r="M97" s="181"/>
      <c r="N97" s="176"/>
      <c r="O97" s="100"/>
      <c r="P97" s="70"/>
      <c r="T97" s="325" t="s">
        <v>339</v>
      </c>
      <c r="U97" s="404" t="s">
        <v>451</v>
      </c>
      <c r="V97" s="359">
        <v>1.5</v>
      </c>
      <c r="W97" s="359">
        <v>1.5</v>
      </c>
      <c r="X97" s="359">
        <v>1.5</v>
      </c>
      <c r="Y97" s="297">
        <v>35</v>
      </c>
      <c r="Z97" s="297">
        <v>35</v>
      </c>
      <c r="AA97" s="297">
        <v>35</v>
      </c>
      <c r="AB97" s="297" t="s">
        <v>112</v>
      </c>
      <c r="AC97" s="297" t="s">
        <v>112</v>
      </c>
      <c r="AD97" s="297">
        <v>0.02</v>
      </c>
      <c r="AE97" s="297">
        <v>0.75</v>
      </c>
      <c r="AF97" s="324"/>
      <c r="AG97" s="324"/>
      <c r="AH97" s="324"/>
      <c r="AT97" s="1380" t="s">
        <v>608</v>
      </c>
      <c r="AU97" s="1381" t="s">
        <v>451</v>
      </c>
      <c r="AV97" s="1381" t="s">
        <v>451</v>
      </c>
      <c r="AW97" s="1381" t="s">
        <v>451</v>
      </c>
      <c r="AX97" s="1382" t="s">
        <v>451</v>
      </c>
      <c r="AY97" s="1392" t="s">
        <v>521</v>
      </c>
      <c r="AZ97" s="1393"/>
      <c r="BA97" s="1392" t="s">
        <v>521</v>
      </c>
      <c r="BB97" s="1393"/>
      <c r="BC97" s="1392" t="s">
        <v>521</v>
      </c>
      <c r="BD97" s="1393"/>
      <c r="BE97" s="596">
        <v>35</v>
      </c>
      <c r="BF97" s="596">
        <v>35</v>
      </c>
      <c r="BG97" s="596">
        <v>35</v>
      </c>
      <c r="BH97" s="595" t="s">
        <v>112</v>
      </c>
      <c r="BI97" s="595" t="s">
        <v>112</v>
      </c>
      <c r="BL97" s="16"/>
      <c r="BM97" s="16"/>
      <c r="BN97" s="16"/>
      <c r="BO97" s="16"/>
      <c r="BP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8"/>
      <c r="DT97" s="19"/>
    </row>
    <row r="98" spans="1:124" ht="12.75" customHeight="1">
      <c r="A98" s="80"/>
      <c r="B98" s="349" t="str">
        <f t="shared" si="9"/>
        <v/>
      </c>
      <c r="C98" s="162" t="str">
        <f t="shared" si="10"/>
        <v/>
      </c>
      <c r="D98" s="131" t="str">
        <f t="shared" si="11"/>
        <v/>
      </c>
      <c r="E98" s="161" t="str">
        <f t="shared" si="12"/>
        <v/>
      </c>
      <c r="F98" s="318" t="str">
        <f t="shared" si="13"/>
        <v/>
      </c>
      <c r="G98" s="162" t="str">
        <f t="shared" si="14"/>
        <v/>
      </c>
      <c r="H98" s="162" t="str">
        <f t="shared" si="15"/>
        <v/>
      </c>
      <c r="I98" s="90"/>
      <c r="J98" s="174"/>
      <c r="K98" s="507" t="s">
        <v>317</v>
      </c>
      <c r="L98" s="173"/>
      <c r="M98" s="20"/>
      <c r="N98" s="20"/>
      <c r="O98" s="33"/>
      <c r="P98" s="70"/>
      <c r="T98" s="343" t="s">
        <v>342</v>
      </c>
      <c r="U98" s="323"/>
      <c r="V98" s="323"/>
      <c r="W98" s="323"/>
      <c r="X98" s="323"/>
      <c r="Y98" s="323"/>
      <c r="Z98" s="323"/>
      <c r="AA98" s="323"/>
      <c r="AB98" s="323"/>
      <c r="AC98" s="344"/>
      <c r="AD98" s="475"/>
      <c r="AE98" s="474"/>
      <c r="AF98" s="324"/>
      <c r="AG98" s="324"/>
      <c r="AH98" s="324"/>
      <c r="AT98" s="612" t="s">
        <v>342</v>
      </c>
      <c r="AU98" s="604"/>
      <c r="AV98" s="604"/>
      <c r="AW98" s="604"/>
      <c r="AX98" s="604"/>
      <c r="AY98" s="591"/>
      <c r="AZ98" s="591"/>
      <c r="BA98" s="591"/>
      <c r="BB98" s="591"/>
      <c r="BC98" s="591"/>
      <c r="BD98" s="591"/>
      <c r="BE98" s="591"/>
      <c r="BF98" s="591"/>
      <c r="BG98" s="591"/>
      <c r="BH98" s="591"/>
      <c r="BI98" s="592"/>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8"/>
      <c r="DT98" s="19"/>
    </row>
    <row r="99" spans="1:124" ht="12.75" customHeight="1">
      <c r="A99" s="80"/>
      <c r="B99" s="349" t="str">
        <f t="shared" si="9"/>
        <v/>
      </c>
      <c r="C99" s="162" t="str">
        <f t="shared" si="10"/>
        <v/>
      </c>
      <c r="D99" s="131" t="str">
        <f t="shared" si="11"/>
        <v/>
      </c>
      <c r="E99" s="161" t="str">
        <f t="shared" si="12"/>
        <v/>
      </c>
      <c r="F99" s="318" t="str">
        <f t="shared" si="13"/>
        <v/>
      </c>
      <c r="G99" s="162" t="str">
        <f t="shared" si="14"/>
        <v/>
      </c>
      <c r="H99" s="162" t="str">
        <f t="shared" si="15"/>
        <v/>
      </c>
      <c r="I99" s="90"/>
      <c r="J99" s="33"/>
      <c r="K99" s="507" t="s">
        <v>318</v>
      </c>
      <c r="L99" s="182"/>
      <c r="M99" s="20"/>
      <c r="N99" s="44"/>
      <c r="O99" s="100"/>
      <c r="P99" s="70"/>
      <c r="T99" s="343" t="s">
        <v>341</v>
      </c>
      <c r="U99" s="408" t="s">
        <v>343</v>
      </c>
      <c r="V99" s="397">
        <v>3</v>
      </c>
      <c r="W99" s="397">
        <v>3</v>
      </c>
      <c r="X99" s="397">
        <v>3</v>
      </c>
      <c r="Y99" s="321" t="s">
        <v>110</v>
      </c>
      <c r="Z99" s="321" t="s">
        <v>110</v>
      </c>
      <c r="AA99" s="321" t="s">
        <v>112</v>
      </c>
      <c r="AB99" s="321" t="s">
        <v>112</v>
      </c>
      <c r="AC99" s="321" t="s">
        <v>112</v>
      </c>
      <c r="AD99" s="283">
        <v>0.02</v>
      </c>
      <c r="AE99" s="283">
        <v>0.75</v>
      </c>
      <c r="AF99" s="324"/>
      <c r="AG99" s="324"/>
      <c r="AH99" s="324"/>
      <c r="AT99" s="1397" t="s">
        <v>561</v>
      </c>
      <c r="AU99" s="1398"/>
      <c r="AV99" s="1398"/>
      <c r="AW99" s="1398"/>
      <c r="AX99" s="1399"/>
      <c r="AY99" s="1400">
        <v>3</v>
      </c>
      <c r="AZ99" s="1401"/>
      <c r="BA99" s="1400">
        <v>3</v>
      </c>
      <c r="BB99" s="1401"/>
      <c r="BC99" s="1400">
        <v>3</v>
      </c>
      <c r="BD99" s="1401"/>
      <c r="BE99" s="615" t="s">
        <v>110</v>
      </c>
      <c r="BF99" s="615" t="s">
        <v>110</v>
      </c>
      <c r="BG99" s="616" t="s">
        <v>112</v>
      </c>
      <c r="BH99" s="616" t="s">
        <v>112</v>
      </c>
      <c r="BI99" s="616" t="s">
        <v>112</v>
      </c>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8"/>
      <c r="DT99" s="19"/>
    </row>
    <row r="100" spans="1:124" ht="12.75" customHeight="1">
      <c r="A100" s="80"/>
      <c r="B100" s="349" t="str">
        <f t="shared" si="9"/>
        <v/>
      </c>
      <c r="C100" s="162" t="str">
        <f t="shared" si="10"/>
        <v/>
      </c>
      <c r="D100" s="131" t="str">
        <f t="shared" si="11"/>
        <v/>
      </c>
      <c r="E100" s="161" t="str">
        <f t="shared" si="12"/>
        <v/>
      </c>
      <c r="F100" s="318" t="str">
        <f t="shared" si="13"/>
        <v/>
      </c>
      <c r="G100" s="162" t="str">
        <f t="shared" si="14"/>
        <v/>
      </c>
      <c r="H100" s="162" t="str">
        <f t="shared" si="15"/>
        <v/>
      </c>
      <c r="I100" s="90"/>
      <c r="J100" s="33"/>
      <c r="K100" s="507" t="s">
        <v>323</v>
      </c>
      <c r="L100" s="179"/>
      <c r="M100" s="178"/>
      <c r="N100" s="176"/>
      <c r="O100" s="100"/>
      <c r="P100" s="70"/>
      <c r="T100" s="370"/>
      <c r="U100" s="409"/>
      <c r="V100" s="371"/>
      <c r="W100" s="371"/>
      <c r="X100" s="371"/>
      <c r="Y100" s="324"/>
      <c r="Z100" s="324"/>
      <c r="AA100" s="324"/>
      <c r="AB100" s="324"/>
      <c r="AC100" s="324"/>
      <c r="AD100" s="324"/>
      <c r="AE100" s="324"/>
      <c r="AF100" s="324"/>
      <c r="AG100" s="324"/>
      <c r="AH100" s="324"/>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8"/>
      <c r="DT100" s="19"/>
    </row>
    <row r="101" spans="1:124" ht="12.75" customHeight="1">
      <c r="A101" s="80"/>
      <c r="B101" s="350" t="str">
        <f t="shared" si="9"/>
        <v/>
      </c>
      <c r="C101" s="59" t="str">
        <f t="shared" si="10"/>
        <v/>
      </c>
      <c r="D101" s="133" t="str">
        <f t="shared" si="11"/>
        <v/>
      </c>
      <c r="E101" s="354" t="str">
        <f t="shared" si="12"/>
        <v/>
      </c>
      <c r="F101" s="133" t="str">
        <f t="shared" si="13"/>
        <v/>
      </c>
      <c r="G101" s="59" t="str">
        <f t="shared" si="14"/>
        <v/>
      </c>
      <c r="H101" s="59" t="str">
        <f t="shared" si="15"/>
        <v/>
      </c>
      <c r="I101" s="90"/>
      <c r="J101" s="33"/>
      <c r="K101" s="507" t="s">
        <v>324</v>
      </c>
      <c r="L101" s="179"/>
      <c r="M101" s="178"/>
      <c r="N101" s="176"/>
      <c r="O101" s="100"/>
      <c r="P101" s="70"/>
      <c r="T101" s="270"/>
      <c r="U101" s="278"/>
      <c r="V101" s="282"/>
      <c r="W101" s="401"/>
      <c r="X101" s="282"/>
      <c r="Y101" s="286" t="s">
        <v>148</v>
      </c>
      <c r="Z101" s="287"/>
      <c r="AA101" s="287"/>
      <c r="AB101" s="287"/>
      <c r="AC101" s="288"/>
      <c r="AD101" s="282"/>
      <c r="AE101" s="289"/>
      <c r="AF101" s="290"/>
      <c r="AH101" s="324"/>
      <c r="AI101" s="77"/>
      <c r="AJ101" s="77"/>
      <c r="AT101" s="617" t="s">
        <v>104</v>
      </c>
      <c r="AU101" s="410"/>
      <c r="AV101" s="410"/>
      <c r="AW101" s="410"/>
      <c r="AX101" s="410"/>
      <c r="AY101" s="410"/>
      <c r="AZ101" s="410"/>
      <c r="BA101" s="410"/>
      <c r="BB101" s="410"/>
      <c r="BC101" s="410"/>
      <c r="BD101" s="410"/>
      <c r="BE101" s="410"/>
      <c r="BF101" s="410"/>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8"/>
      <c r="DT101" s="19"/>
    </row>
    <row r="102" spans="1:124" ht="12.75" customHeight="1">
      <c r="A102" s="80"/>
      <c r="B102" s="350" t="str">
        <f t="shared" si="9"/>
        <v/>
      </c>
      <c r="C102" s="59" t="str">
        <f t="shared" si="10"/>
        <v/>
      </c>
      <c r="D102" s="133" t="str">
        <f t="shared" si="11"/>
        <v/>
      </c>
      <c r="E102" s="354" t="str">
        <f t="shared" si="12"/>
        <v/>
      </c>
      <c r="F102" s="133" t="str">
        <f t="shared" si="13"/>
        <v/>
      </c>
      <c r="G102" s="59" t="str">
        <f t="shared" si="14"/>
        <v/>
      </c>
      <c r="H102" s="59" t="str">
        <f t="shared" si="15"/>
        <v/>
      </c>
      <c r="I102" s="90"/>
      <c r="J102" s="33"/>
      <c r="K102" s="507" t="s">
        <v>325</v>
      </c>
      <c r="L102" s="179"/>
      <c r="M102" s="179"/>
      <c r="N102" s="53"/>
      <c r="O102" s="100"/>
      <c r="P102" s="70"/>
      <c r="T102" s="41" t="s">
        <v>149</v>
      </c>
      <c r="U102" s="43"/>
      <c r="V102" s="268" t="s">
        <v>109</v>
      </c>
      <c r="W102" s="294" t="s">
        <v>13</v>
      </c>
      <c r="X102" s="268" t="s">
        <v>155</v>
      </c>
      <c r="Y102" s="269" t="s">
        <v>111</v>
      </c>
      <c r="Z102" s="265" t="s">
        <v>33</v>
      </c>
      <c r="AA102" s="265" t="s">
        <v>32</v>
      </c>
      <c r="AB102" s="265" t="s">
        <v>35</v>
      </c>
      <c r="AC102" s="265" t="s">
        <v>36</v>
      </c>
      <c r="AD102" s="268" t="s">
        <v>142</v>
      </c>
      <c r="AE102" s="283" t="s">
        <v>62</v>
      </c>
      <c r="AF102" s="283" t="s">
        <v>143</v>
      </c>
      <c r="AG102" s="126" t="s">
        <v>150</v>
      </c>
      <c r="AH102" s="324"/>
      <c r="AI102" s="77"/>
      <c r="AJ102" s="77"/>
      <c r="AT102" s="410" t="s">
        <v>562</v>
      </c>
      <c r="AU102" s="410"/>
      <c r="AV102" s="410"/>
      <c r="AW102" s="410"/>
      <c r="AX102" s="410"/>
      <c r="AY102" s="410"/>
      <c r="AZ102" s="410"/>
      <c r="BA102" s="410"/>
      <c r="BB102" s="410"/>
      <c r="BC102" s="410"/>
      <c r="BD102" s="410"/>
      <c r="BE102" s="410"/>
      <c r="BF102" s="410"/>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8"/>
      <c r="DT102" s="19"/>
    </row>
    <row r="103" spans="1:124" ht="12.75" customHeight="1">
      <c r="A103" s="80"/>
      <c r="B103" s="420" t="str">
        <f t="shared" si="9"/>
        <v/>
      </c>
      <c r="C103" s="426" t="str">
        <f t="shared" si="10"/>
        <v/>
      </c>
      <c r="D103" s="427" t="str">
        <f t="shared" si="11"/>
        <v/>
      </c>
      <c r="E103" s="428" t="str">
        <f t="shared" si="12"/>
        <v/>
      </c>
      <c r="F103" s="427" t="str">
        <f t="shared" si="13"/>
        <v/>
      </c>
      <c r="G103" s="426" t="str">
        <f t="shared" si="14"/>
        <v/>
      </c>
      <c r="H103" s="426" t="str">
        <f t="shared" si="15"/>
        <v/>
      </c>
      <c r="I103" s="90"/>
      <c r="J103" s="33"/>
      <c r="K103" s="507" t="s">
        <v>326</v>
      </c>
      <c r="M103" s="136"/>
      <c r="N103" s="150"/>
      <c r="O103" s="128"/>
      <c r="P103" s="70"/>
      <c r="T103" s="295" t="str">
        <f>$C$17</f>
        <v>C4</v>
      </c>
      <c r="U103" s="395" t="str">
        <f>VLOOKUP($C$17,$T$8:$AE$99,2, FALSE)</f>
        <v>Steel ordinary moment frames</v>
      </c>
      <c r="V103" s="282">
        <f>VLOOKUP($C$17,$T$8:$AE$99,3, FALSE)</f>
        <v>3.5</v>
      </c>
      <c r="W103" s="282">
        <f>VLOOKUP($C$17,$T$8:$AE$99,4, FALSE)</f>
        <v>3</v>
      </c>
      <c r="X103" s="282">
        <f>VLOOKUP($C$17,$T$8:$AE$99,5, FALSE)</f>
        <v>3</v>
      </c>
      <c r="Y103" s="282" t="str">
        <f>VLOOKUP($C$17,$T$8:$AE$99,6, FALSE)</f>
        <v>NL</v>
      </c>
      <c r="Z103" s="282" t="str">
        <f>VLOOKUP($C$17,$T$8:$AE$99,7, FALSE)</f>
        <v>NL</v>
      </c>
      <c r="AA103" s="282" t="str">
        <f>VLOOKUP($C$17,$T$8:$AE$99,8, FALSE)</f>
        <v>NP</v>
      </c>
      <c r="AB103" s="282" t="str">
        <f>VLOOKUP($C$17,$T$8:$AE$99,9, FALSE)</f>
        <v>NP</v>
      </c>
      <c r="AC103" s="282" t="str">
        <f>VLOOKUP($C$17,$T$8:$AE$99,10, FALSE)</f>
        <v>NP</v>
      </c>
      <c r="AD103" s="282">
        <f>VLOOKUP($C$17,$T$8:$AE$99,11, FALSE)</f>
        <v>2.8000000000000001E-2</v>
      </c>
      <c r="AE103" s="290" t="str">
        <f>$C$61</f>
        <v>A</v>
      </c>
      <c r="AF103" s="291">
        <f>$C$15</f>
        <v>75</v>
      </c>
      <c r="AG103" s="77"/>
      <c r="AT103" s="410" t="s">
        <v>563</v>
      </c>
      <c r="AU103" s="410"/>
      <c r="AV103" s="410"/>
      <c r="AW103" s="410"/>
      <c r="AX103" s="410"/>
      <c r="AY103" s="410"/>
      <c r="AZ103" s="410"/>
      <c r="BA103" s="410"/>
      <c r="BB103" s="410"/>
      <c r="BC103" s="410"/>
      <c r="BD103" s="410"/>
      <c r="BE103" s="410"/>
      <c r="BF103" s="410"/>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8"/>
      <c r="DT103" s="19"/>
    </row>
    <row r="104" spans="1:124" ht="12.75" customHeight="1">
      <c r="A104" s="80"/>
      <c r="B104" s="420" t="str">
        <f t="shared" si="9"/>
        <v/>
      </c>
      <c r="C104" s="426" t="str">
        <f t="shared" si="10"/>
        <v/>
      </c>
      <c r="D104" s="427" t="str">
        <f t="shared" si="11"/>
        <v/>
      </c>
      <c r="E104" s="428" t="str">
        <f t="shared" si="12"/>
        <v/>
      </c>
      <c r="F104" s="427" t="str">
        <f t="shared" si="13"/>
        <v/>
      </c>
      <c r="G104" s="426" t="str">
        <f t="shared" si="14"/>
        <v/>
      </c>
      <c r="H104" s="426" t="str">
        <f t="shared" si="15"/>
        <v/>
      </c>
      <c r="I104" s="90"/>
      <c r="J104" s="33"/>
      <c r="K104" s="507" t="s">
        <v>327</v>
      </c>
      <c r="L104" s="20"/>
      <c r="M104" s="181"/>
      <c r="N104" s="150"/>
      <c r="O104" s="128"/>
      <c r="P104" s="128"/>
      <c r="T104" s="302"/>
      <c r="U104" s="396"/>
      <c r="V104" s="301"/>
      <c r="W104" s="301"/>
      <c r="X104" s="301"/>
      <c r="Y104" s="301" t="str">
        <f>IF(OR($AE$103="A",$AE$103="B"),IF($Y$103="NP","N.P.",IF($Y$103="NL","O.K.",IF(AND($Y$103&gt;0,$Y$103&gt;=$AF$103),"O.K."))),"N.A.")</f>
        <v>O.K.</v>
      </c>
      <c r="Z104" s="301" t="str">
        <f>IF($AE$103="C",IF($Z$103="NP","N.P.",IF($Z$103="NL","O.K.",IF(AND($Z$103&gt;0,$Z$103&gt;=$AF$103),"O.K.", "N.P."))),"N.A.")</f>
        <v>N.A.</v>
      </c>
      <c r="AA104" s="301" t="str">
        <f>IF($AE$103="D",IF($AA$103="NP","N.P.",IF($AA$103="NL","O.K.",IF(AND($AA$103&gt;0,$AA$103&gt;=$AF$103),"O.K.", "N.P."))),"N.A.")</f>
        <v>N.A.</v>
      </c>
      <c r="AB104" s="301" t="str">
        <f>IF($AE$103="E",IF($AB$103="NP","N.P.",IF($AB$103="NL","O.K.",IF(AND($AB$103&gt;0,$AB$103&gt;=$AF$103),"O.K.", "N.P."))),"N.A.")</f>
        <v>N.A.</v>
      </c>
      <c r="AC104" s="301" t="str">
        <f>IF($AE$103="F",IF($AC$103="NP","N.P.",IF($AC$103="NL","O.K.",IF(AND($AC$103&gt;0,$AC$103&gt;=$AF$103),"O.K.", "N.P."))),"N.A.")</f>
        <v>N.A.</v>
      </c>
      <c r="AD104" s="294"/>
      <c r="AE104" s="294"/>
      <c r="AF104" s="294"/>
      <c r="AG104" s="27" t="str">
        <f>IF(OR($AE$103="A",$AE$103="B"),$Y$104,IF($AE$103="C",$Z$104,IF($AE$103="D",$AA$104,IF($AE$103="E",$AB$104,IF($AE$103="F",$AC$104)))))</f>
        <v>O.K.</v>
      </c>
      <c r="AH104" s="126"/>
      <c r="AT104" s="410" t="s">
        <v>564</v>
      </c>
      <c r="AU104" s="410"/>
      <c r="AV104" s="410"/>
      <c r="AW104" s="410"/>
      <c r="AX104" s="410"/>
      <c r="AY104" s="410"/>
      <c r="AZ104" s="410"/>
      <c r="BA104" s="410"/>
      <c r="BB104" s="410"/>
      <c r="BC104" s="410"/>
      <c r="BD104" s="410"/>
      <c r="BE104" s="410"/>
      <c r="BF104" s="410"/>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8"/>
      <c r="DT104" s="19"/>
    </row>
    <row r="105" spans="1:124" ht="12.75" customHeight="1">
      <c r="A105" s="80"/>
      <c r="B105" s="425" t="str">
        <f t="shared" si="9"/>
        <v/>
      </c>
      <c r="C105" s="429" t="str">
        <f t="shared" si="10"/>
        <v/>
      </c>
      <c r="D105" s="430" t="str">
        <f t="shared" si="11"/>
        <v/>
      </c>
      <c r="E105" s="431" t="str">
        <f t="shared" si="12"/>
        <v/>
      </c>
      <c r="F105" s="430" t="str">
        <f t="shared" si="13"/>
        <v/>
      </c>
      <c r="G105" s="429" t="str">
        <f t="shared" si="14"/>
        <v/>
      </c>
      <c r="H105" s="429" t="str">
        <f t="shared" si="15"/>
        <v/>
      </c>
      <c r="I105" s="90"/>
      <c r="J105" s="33"/>
      <c r="K105" s="507" t="s">
        <v>328</v>
      </c>
      <c r="L105" s="20"/>
      <c r="M105" s="33"/>
      <c r="O105" s="77"/>
      <c r="P105" s="70"/>
      <c r="AH105" s="77"/>
      <c r="AT105" s="410" t="s">
        <v>565</v>
      </c>
      <c r="AU105" s="410"/>
      <c r="AV105" s="410"/>
      <c r="AW105" s="410"/>
      <c r="AX105" s="410"/>
      <c r="AY105" s="410"/>
      <c r="AZ105" s="410"/>
      <c r="BA105" s="410"/>
      <c r="BB105" s="410"/>
      <c r="BC105" s="410"/>
      <c r="BD105" s="410"/>
      <c r="BE105" s="410"/>
      <c r="BF105" s="410"/>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8"/>
      <c r="DT105" s="19"/>
    </row>
    <row r="106" spans="1:124" ht="12.75" customHeight="1">
      <c r="A106" s="80"/>
      <c r="B106" s="422" t="s">
        <v>87</v>
      </c>
      <c r="C106" s="421">
        <f>SUM($C$91:$C$105)</f>
        <v>27.9</v>
      </c>
      <c r="D106" s="163"/>
      <c r="E106" s="164">
        <f>IF($C$61="N.A.","",SUM($E$91:$E$105))</f>
        <v>649.63588548226778</v>
      </c>
      <c r="F106" s="165">
        <f>IF($C$61="N.A.","",SUM($F$91:$F$105))</f>
        <v>1</v>
      </c>
      <c r="G106" s="166">
        <f>IF($C$61="N.A.","",SUM($G$91:$G$105))</f>
        <v>0.68263611838647342</v>
      </c>
      <c r="H106" s="167"/>
      <c r="I106" s="90"/>
      <c r="J106" s="33"/>
      <c r="K106" s="507" t="s">
        <v>329</v>
      </c>
      <c r="L106" s="20"/>
      <c r="M106" s="181"/>
      <c r="N106" s="176"/>
      <c r="O106" s="128"/>
      <c r="P106" s="70"/>
      <c r="AH106" s="27"/>
      <c r="AT106" s="410" t="s">
        <v>566</v>
      </c>
      <c r="AU106" s="410"/>
      <c r="AV106" s="410"/>
      <c r="AW106" s="410"/>
      <c r="AX106" s="410"/>
      <c r="AY106" s="410"/>
      <c r="AZ106" s="410"/>
      <c r="BA106" s="410"/>
      <c r="BB106" s="410"/>
      <c r="BC106" s="410"/>
      <c r="BD106" s="410"/>
      <c r="BE106" s="410"/>
      <c r="BF106" s="410"/>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8"/>
      <c r="DT106" s="19"/>
    </row>
    <row r="107" spans="1:124" ht="12.75" customHeight="1">
      <c r="A107" s="487"/>
      <c r="B107" s="177"/>
      <c r="C107" s="177"/>
      <c r="D107" s="177"/>
      <c r="E107" s="177"/>
      <c r="F107" s="177"/>
      <c r="G107" s="177"/>
      <c r="H107" s="177"/>
      <c r="I107" s="134"/>
      <c r="J107" s="33"/>
      <c r="K107" s="507" t="s">
        <v>330</v>
      </c>
      <c r="L107" s="20"/>
      <c r="M107" s="181"/>
      <c r="N107" s="148"/>
      <c r="O107" s="128"/>
      <c r="P107" s="70"/>
      <c r="AH107" s="77"/>
      <c r="AT107" s="410" t="s">
        <v>567</v>
      </c>
      <c r="AU107" s="410"/>
      <c r="AV107" s="410"/>
      <c r="AW107" s="410"/>
      <c r="AX107" s="410"/>
      <c r="AY107" s="410"/>
      <c r="AZ107" s="410"/>
      <c r="BA107" s="410"/>
      <c r="BB107" s="410"/>
      <c r="BC107" s="410"/>
      <c r="BD107" s="410"/>
      <c r="BE107" s="410"/>
      <c r="BF107" s="410"/>
      <c r="BG107" s="410"/>
      <c r="BH107" s="410"/>
      <c r="BI107" s="410"/>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8"/>
      <c r="DT107" s="19"/>
    </row>
    <row r="108" spans="1:124" ht="12.75" customHeight="1">
      <c r="A108" s="54" t="s">
        <v>104</v>
      </c>
      <c r="B108" s="252"/>
      <c r="C108" s="423"/>
      <c r="D108" s="424"/>
      <c r="E108" s="252"/>
      <c r="F108" s="252"/>
      <c r="G108" s="252"/>
      <c r="H108" s="252"/>
      <c r="I108" s="257"/>
      <c r="J108" s="33"/>
      <c r="K108" s="507" t="s">
        <v>332</v>
      </c>
      <c r="L108" s="20"/>
      <c r="M108" s="190"/>
      <c r="N108" s="148"/>
      <c r="O108" s="128"/>
      <c r="P108" s="129"/>
      <c r="AT108" s="410" t="s">
        <v>611</v>
      </c>
      <c r="AU108" s="410"/>
      <c r="AV108" s="410"/>
      <c r="AW108" s="410"/>
      <c r="AX108" s="410"/>
      <c r="AY108" s="410"/>
      <c r="AZ108" s="410"/>
      <c r="BA108" s="410"/>
      <c r="BB108" s="410"/>
      <c r="BC108" s="410"/>
      <c r="BD108" s="410"/>
      <c r="BE108" s="410"/>
      <c r="BF108" s="410"/>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8"/>
      <c r="DT108" s="19"/>
    </row>
    <row r="109" spans="1:124" ht="12.75" customHeight="1">
      <c r="A109" s="258"/>
      <c r="B109" s="252"/>
      <c r="C109" s="252"/>
      <c r="D109" s="252"/>
      <c r="E109" s="252"/>
      <c r="F109" s="252"/>
      <c r="G109" s="252"/>
      <c r="H109" s="252"/>
      <c r="I109" s="257"/>
      <c r="J109" s="33"/>
      <c r="K109" s="507" t="s">
        <v>334</v>
      </c>
      <c r="L109" s="20"/>
      <c r="M109" s="190"/>
      <c r="N109" s="191"/>
      <c r="O109" s="128"/>
      <c r="P109" s="129"/>
      <c r="AT109" s="410" t="s">
        <v>612</v>
      </c>
      <c r="AU109" s="410"/>
      <c r="AV109" s="410"/>
      <c r="AW109" s="410"/>
      <c r="AX109" s="410"/>
      <c r="AY109" s="410"/>
      <c r="AZ109" s="410"/>
      <c r="BA109" s="410"/>
      <c r="BB109" s="410"/>
      <c r="BC109" s="410"/>
      <c r="BD109" s="410"/>
      <c r="BE109" s="410"/>
      <c r="BF109" s="410"/>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8"/>
      <c r="DT109" s="19"/>
    </row>
    <row r="110" spans="1:124" ht="12.75" customHeight="1">
      <c r="A110" s="258"/>
      <c r="B110" s="252"/>
      <c r="C110" s="252"/>
      <c r="D110" s="252"/>
      <c r="E110" s="252"/>
      <c r="F110" s="252"/>
      <c r="G110" s="252"/>
      <c r="H110" s="252"/>
      <c r="I110" s="257"/>
      <c r="J110" s="33"/>
      <c r="K110" s="507" t="s">
        <v>335</v>
      </c>
      <c r="L110" s="20"/>
      <c r="M110" s="193"/>
      <c r="N110" s="27"/>
      <c r="O110" s="128"/>
      <c r="P110" s="70"/>
      <c r="AT110" s="410" t="s">
        <v>613</v>
      </c>
      <c r="AU110" s="410"/>
      <c r="AV110" s="410"/>
      <c r="AW110" s="410"/>
      <c r="AX110" s="410"/>
      <c r="AY110" s="410"/>
      <c r="AZ110" s="410"/>
      <c r="BA110" s="410"/>
      <c r="BB110" s="410"/>
      <c r="BC110" s="410"/>
      <c r="BD110" s="410"/>
      <c r="BE110" s="410"/>
      <c r="BF110" s="410"/>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8"/>
      <c r="DT110" s="19"/>
    </row>
    <row r="111" spans="1:124" ht="12.75" customHeight="1">
      <c r="A111" s="258"/>
      <c r="B111" s="252"/>
      <c r="C111" s="252"/>
      <c r="D111" s="252"/>
      <c r="E111" s="252"/>
      <c r="F111" s="252"/>
      <c r="G111" s="252"/>
      <c r="H111" s="252"/>
      <c r="I111" s="257"/>
      <c r="J111" s="33"/>
      <c r="K111" s="507" t="s">
        <v>336</v>
      </c>
      <c r="L111" s="20"/>
      <c r="M111" s="20"/>
      <c r="O111" s="77"/>
      <c r="P111" s="70"/>
      <c r="AT111" s="410" t="s">
        <v>568</v>
      </c>
      <c r="AU111" s="410"/>
      <c r="AV111" s="410"/>
      <c r="AW111" s="410"/>
      <c r="AX111" s="410"/>
      <c r="AY111" s="410"/>
      <c r="AZ111" s="410"/>
      <c r="BA111" s="410"/>
      <c r="BB111" s="410"/>
      <c r="BC111" s="410"/>
      <c r="BD111" s="410"/>
      <c r="BE111" s="410"/>
      <c r="BF111" s="410"/>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8"/>
      <c r="DT111" s="19"/>
    </row>
    <row r="112" spans="1:124" ht="12.75" customHeight="1">
      <c r="A112" s="345"/>
      <c r="B112" s="392"/>
      <c r="C112" s="392"/>
      <c r="D112" s="392"/>
      <c r="E112" s="392"/>
      <c r="F112" s="390"/>
      <c r="G112" s="393"/>
      <c r="H112" s="393"/>
      <c r="I112" s="394"/>
      <c r="J112" s="33"/>
      <c r="K112" s="507" t="s">
        <v>337</v>
      </c>
      <c r="L112" s="20"/>
      <c r="M112" s="179"/>
      <c r="N112" s="196"/>
      <c r="O112" s="128"/>
      <c r="P112" s="70"/>
      <c r="AT112" s="410" t="s">
        <v>569</v>
      </c>
      <c r="AU112" s="410"/>
      <c r="AV112" s="410"/>
      <c r="AW112" s="410"/>
      <c r="AX112" s="410"/>
      <c r="AY112" s="410"/>
      <c r="AZ112" s="410"/>
      <c r="BA112" s="410"/>
      <c r="BB112" s="410"/>
      <c r="BC112" s="410"/>
      <c r="BD112" s="410"/>
      <c r="BE112" s="410"/>
      <c r="BF112" s="410"/>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8"/>
      <c r="DT112" s="19"/>
    </row>
    <row r="113" spans="10:124" ht="12.75" customHeight="1">
      <c r="J113" s="33"/>
      <c r="K113" s="507" t="s">
        <v>338</v>
      </c>
      <c r="L113" s="20"/>
      <c r="M113" s="179"/>
      <c r="N113" s="60"/>
      <c r="O113" s="128"/>
      <c r="P113" s="70"/>
      <c r="AT113" s="410" t="s">
        <v>614</v>
      </c>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8"/>
      <c r="DT113" s="19"/>
    </row>
    <row r="114" spans="10:124">
      <c r="J114" s="33"/>
      <c r="K114" s="507" t="s">
        <v>339</v>
      </c>
      <c r="L114" s="20"/>
      <c r="M114" s="199"/>
      <c r="N114" s="60"/>
      <c r="O114" s="188"/>
      <c r="P114" s="189"/>
      <c r="AT114" s="410" t="s">
        <v>615</v>
      </c>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8"/>
      <c r="DT114" s="19"/>
    </row>
    <row r="115" spans="10:124">
      <c r="J115" s="33"/>
      <c r="K115" s="324" t="s">
        <v>341</v>
      </c>
      <c r="L115" s="20"/>
      <c r="M115" s="20"/>
      <c r="N115" s="136"/>
      <c r="O115" s="128"/>
      <c r="P115" s="70"/>
      <c r="AT115" s="410" t="s">
        <v>616</v>
      </c>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8"/>
      <c r="DT115" s="19"/>
    </row>
    <row r="116" spans="10:124">
      <c r="J116" s="33"/>
      <c r="L116" s="20"/>
      <c r="M116" s="181"/>
      <c r="N116" s="150"/>
      <c r="O116" s="128"/>
      <c r="P116" s="70"/>
      <c r="AT116" s="410" t="s">
        <v>617</v>
      </c>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8"/>
      <c r="DT116" s="60"/>
    </row>
    <row r="117" spans="10:124">
      <c r="J117" s="33"/>
      <c r="L117" s="20"/>
      <c r="M117" s="187"/>
      <c r="N117" s="150"/>
      <c r="O117" s="128"/>
      <c r="P117" s="128"/>
      <c r="AT117" s="410" t="s">
        <v>618</v>
      </c>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8"/>
      <c r="DT117" s="19"/>
    </row>
    <row r="118" spans="10:124">
      <c r="J118" s="33"/>
      <c r="L118" s="20"/>
      <c r="M118" s="187"/>
      <c r="N118" s="150"/>
      <c r="O118" s="128"/>
      <c r="P118" s="128"/>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8"/>
      <c r="DT118" s="19"/>
    </row>
    <row r="119" spans="10:124">
      <c r="J119" s="33"/>
      <c r="L119" s="20"/>
      <c r="M119" s="181"/>
      <c r="N119" s="150"/>
      <c r="O119" s="128"/>
      <c r="P119" s="70"/>
      <c r="CT119" s="15"/>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8"/>
      <c r="DT119" s="19"/>
    </row>
    <row r="120" spans="10:124">
      <c r="J120" s="33"/>
      <c r="L120" s="20"/>
      <c r="M120" s="181"/>
      <c r="N120" s="60"/>
      <c r="O120" s="128"/>
      <c r="P120" s="70"/>
      <c r="AT120" s="410"/>
      <c r="AU120" s="410"/>
      <c r="AV120" s="410"/>
      <c r="AW120" s="410"/>
      <c r="AX120" s="410"/>
      <c r="AY120" s="410"/>
      <c r="AZ120" s="410"/>
      <c r="BA120" s="410"/>
      <c r="BB120" s="410"/>
      <c r="BC120" s="410"/>
      <c r="BD120" s="410"/>
      <c r="BE120" s="410"/>
      <c r="BF120" s="410"/>
      <c r="BG120" s="410"/>
      <c r="BH120" s="410"/>
      <c r="BI120" s="410"/>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8"/>
      <c r="DT120" s="19"/>
    </row>
    <row r="121" spans="10:124">
      <c r="J121" s="33"/>
      <c r="L121" s="20"/>
      <c r="M121" s="181"/>
      <c r="N121" s="150"/>
      <c r="O121" s="128"/>
      <c r="P121" s="33"/>
      <c r="AT121" s="410"/>
      <c r="AU121" s="410"/>
      <c r="AV121" s="410"/>
      <c r="AW121" s="410"/>
      <c r="AX121" s="410"/>
      <c r="AY121" s="410"/>
      <c r="AZ121" s="410"/>
      <c r="BA121" s="410"/>
      <c r="BB121" s="410"/>
      <c r="BC121" s="410"/>
      <c r="BD121" s="410"/>
      <c r="BE121" s="410"/>
      <c r="BF121" s="410"/>
      <c r="BG121" s="410"/>
      <c r="BH121" s="410"/>
      <c r="BI121" s="410"/>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8"/>
      <c r="DT121" s="19"/>
    </row>
    <row r="122" spans="10:124">
      <c r="J122" s="33"/>
      <c r="L122" s="20"/>
      <c r="M122" s="181"/>
      <c r="N122" s="150"/>
      <c r="O122" s="128"/>
      <c r="P122" s="70"/>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8"/>
      <c r="DT122" s="19"/>
    </row>
    <row r="123" spans="10:124">
      <c r="J123" s="33"/>
      <c r="L123" s="20"/>
      <c r="M123" s="189"/>
      <c r="O123" s="77"/>
      <c r="P123" s="70"/>
      <c r="AT123" s="410"/>
      <c r="AU123" s="410"/>
      <c r="AV123" s="410"/>
      <c r="AW123" s="410"/>
      <c r="AX123" s="410"/>
      <c r="AY123" s="410"/>
      <c r="AZ123" s="410"/>
      <c r="BA123" s="410"/>
      <c r="BB123" s="410"/>
      <c r="BC123" s="410"/>
      <c r="BD123" s="410"/>
      <c r="BE123" s="410"/>
      <c r="BF123" s="410"/>
      <c r="BG123" s="410"/>
      <c r="BH123" s="410"/>
      <c r="BI123" s="410"/>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8"/>
      <c r="DT123" s="19"/>
    </row>
    <row r="124" spans="10:124">
      <c r="J124" s="33"/>
      <c r="K124" s="25"/>
      <c r="L124" s="20"/>
      <c r="M124" s="181"/>
      <c r="N124" s="176"/>
      <c r="O124" s="128"/>
      <c r="P124" s="70"/>
      <c r="AU124" s="410"/>
      <c r="AV124" s="410"/>
      <c r="AW124" s="410"/>
      <c r="AX124" s="410"/>
      <c r="AY124" s="410"/>
      <c r="AZ124" s="410"/>
      <c r="BA124" s="410"/>
      <c r="BB124" s="410"/>
      <c r="BC124" s="410"/>
      <c r="BD124" s="410"/>
      <c r="BE124" s="410"/>
      <c r="BF124" s="410"/>
      <c r="BG124" s="410"/>
      <c r="BH124" s="410"/>
      <c r="BI124" s="410"/>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8"/>
      <c r="DT124" s="19"/>
    </row>
    <row r="125" spans="10:124">
      <c r="J125" s="33"/>
      <c r="K125" s="25"/>
      <c r="L125" s="20"/>
      <c r="M125" s="181"/>
      <c r="N125" s="150"/>
      <c r="O125" s="128"/>
      <c r="P125" s="70"/>
      <c r="AT125" s="410"/>
      <c r="AU125" s="410"/>
      <c r="AV125" s="410"/>
      <c r="AW125" s="410"/>
      <c r="AX125" s="410"/>
      <c r="AY125" s="410"/>
      <c r="AZ125" s="410"/>
      <c r="BA125" s="410"/>
      <c r="BB125" s="410"/>
      <c r="BC125" s="410"/>
      <c r="BD125" s="410"/>
      <c r="BE125" s="410"/>
      <c r="BF125" s="410"/>
      <c r="BG125" s="410"/>
      <c r="BH125" s="410"/>
      <c r="BI125" s="410"/>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8"/>
      <c r="DT125" s="19"/>
    </row>
    <row r="126" spans="10:124">
      <c r="J126" s="33"/>
      <c r="K126" s="33"/>
      <c r="L126" s="20"/>
      <c r="M126" s="190"/>
      <c r="N126" s="148"/>
      <c r="O126" s="128"/>
      <c r="P126" s="129"/>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8"/>
      <c r="DT126" s="19"/>
    </row>
    <row r="127" spans="10:124">
      <c r="J127" s="33"/>
      <c r="K127" s="33"/>
      <c r="L127" s="20"/>
      <c r="M127" s="190"/>
      <c r="N127" s="191"/>
      <c r="O127" s="128"/>
      <c r="P127" s="129"/>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8"/>
      <c r="DT127" s="19"/>
    </row>
    <row r="128" spans="10:124">
      <c r="J128" s="33"/>
      <c r="K128" s="33"/>
      <c r="L128" s="20"/>
      <c r="M128" s="189"/>
      <c r="O128" s="77"/>
      <c r="P128" s="70"/>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8"/>
      <c r="DT128" s="19"/>
    </row>
    <row r="129" spans="1:124">
      <c r="J129" s="33"/>
      <c r="K129" s="33"/>
      <c r="L129" s="20"/>
      <c r="M129" s="181"/>
      <c r="N129" s="150"/>
      <c r="O129" s="128"/>
      <c r="P129" s="70"/>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8"/>
      <c r="DT129" s="19"/>
    </row>
    <row r="130" spans="1:124">
      <c r="J130" s="33"/>
      <c r="K130" s="33"/>
      <c r="L130" s="20"/>
      <c r="M130" s="181"/>
      <c r="N130" s="150"/>
      <c r="O130" s="128"/>
      <c r="P130" s="128"/>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8"/>
      <c r="DT130" s="19"/>
    </row>
    <row r="131" spans="1:124">
      <c r="J131" s="33"/>
      <c r="K131" s="33"/>
      <c r="L131" s="20"/>
      <c r="M131" s="189"/>
      <c r="O131" s="77"/>
      <c r="P131" s="70"/>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8"/>
      <c r="DT131" s="19"/>
    </row>
    <row r="132" spans="1:124">
      <c r="J132" s="33"/>
      <c r="K132" s="33"/>
      <c r="L132" s="20"/>
      <c r="M132" s="181"/>
      <c r="N132" s="150"/>
      <c r="O132" s="128"/>
      <c r="P132" s="70"/>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8"/>
      <c r="DT132" s="19"/>
    </row>
    <row r="133" spans="1:124">
      <c r="A133" s="64"/>
      <c r="B133" s="132"/>
      <c r="C133" s="105"/>
      <c r="D133" s="105"/>
      <c r="E133" s="105"/>
      <c r="F133" s="105"/>
      <c r="G133" s="105"/>
      <c r="H133" s="185"/>
      <c r="I133" s="192"/>
      <c r="J133" s="33"/>
      <c r="K133" s="33"/>
      <c r="L133" s="20"/>
      <c r="M133" s="181"/>
      <c r="N133" s="150"/>
      <c r="O133" s="128"/>
      <c r="P133" s="70"/>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8"/>
      <c r="DT133" s="19"/>
    </row>
    <row r="134" spans="1:124">
      <c r="A134" s="64"/>
      <c r="B134" s="132"/>
      <c r="C134" s="105"/>
      <c r="D134" s="105"/>
      <c r="E134" s="51"/>
      <c r="F134" s="105"/>
      <c r="G134" s="105"/>
      <c r="H134" s="105"/>
      <c r="I134" s="120"/>
      <c r="J134" s="33"/>
      <c r="K134" s="33"/>
      <c r="L134" s="20"/>
      <c r="M134" s="193"/>
      <c r="N134" s="27"/>
      <c r="O134" s="128"/>
      <c r="P134" s="70"/>
      <c r="BG134" s="410"/>
      <c r="BH134" s="410"/>
      <c r="BI134" s="410"/>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8"/>
      <c r="DT134" s="60"/>
    </row>
    <row r="135" spans="1:124" ht="15.75">
      <c r="A135" s="203"/>
      <c r="B135" s="98"/>
      <c r="C135" s="105"/>
      <c r="D135" s="105"/>
      <c r="E135" s="73"/>
      <c r="F135" s="105"/>
      <c r="G135" s="105"/>
      <c r="H135" s="105"/>
      <c r="I135" s="137"/>
      <c r="J135" s="33"/>
      <c r="K135" s="33"/>
      <c r="L135" s="20"/>
      <c r="M135" s="20"/>
      <c r="O135" s="77"/>
      <c r="P135" s="70"/>
      <c r="BG135" s="410"/>
      <c r="BH135" s="410"/>
      <c r="BI135" s="410"/>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8"/>
      <c r="DT135" s="19"/>
    </row>
    <row r="136" spans="1:124" ht="15.75">
      <c r="A136" s="203"/>
      <c r="B136" s="98"/>
      <c r="C136" s="105"/>
      <c r="D136" s="105"/>
      <c r="E136" s="209"/>
      <c r="F136" s="105"/>
      <c r="G136" s="105"/>
      <c r="H136" s="105"/>
      <c r="I136" s="137"/>
      <c r="J136" s="33"/>
      <c r="K136" s="33"/>
      <c r="L136" s="20"/>
      <c r="M136" s="210"/>
      <c r="N136" s="60"/>
      <c r="O136" s="211"/>
      <c r="P136" s="70"/>
      <c r="BG136" s="410"/>
      <c r="BH136" s="410"/>
      <c r="BI136" s="410"/>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8"/>
      <c r="DT136" s="19"/>
    </row>
    <row r="137" spans="1:124">
      <c r="A137" s="105"/>
      <c r="B137" s="98"/>
      <c r="C137" s="212"/>
      <c r="D137" s="213"/>
      <c r="E137" s="105"/>
      <c r="F137" s="105"/>
      <c r="G137" s="105"/>
      <c r="H137" s="206"/>
      <c r="I137" s="186"/>
      <c r="J137" s="33"/>
      <c r="K137" s="57"/>
      <c r="L137" s="176"/>
      <c r="M137" s="210"/>
      <c r="N137" s="60"/>
      <c r="O137" s="128"/>
      <c r="P137" s="70"/>
      <c r="BG137" s="410"/>
      <c r="BH137" s="410"/>
      <c r="BI137" s="410"/>
      <c r="CT137" s="15"/>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8"/>
      <c r="DT137" s="19"/>
    </row>
    <row r="138" spans="1:124">
      <c r="A138" s="105"/>
      <c r="B138" s="105"/>
      <c r="C138" s="105"/>
      <c r="D138" s="105"/>
      <c r="E138" s="105"/>
      <c r="F138" s="105"/>
      <c r="G138" s="139"/>
      <c r="H138" s="206"/>
      <c r="I138" s="186"/>
      <c r="J138" s="33"/>
      <c r="K138" s="57"/>
      <c r="L138" s="176"/>
      <c r="M138" s="20"/>
      <c r="O138" s="77"/>
      <c r="P138" s="70"/>
      <c r="BG138" s="410"/>
      <c r="BH138" s="410"/>
      <c r="BI138" s="410"/>
      <c r="CT138" s="15"/>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8"/>
      <c r="DT138" s="19"/>
    </row>
    <row r="139" spans="1:124">
      <c r="A139" s="214"/>
      <c r="B139" s="105"/>
      <c r="C139" s="105"/>
      <c r="D139" s="105"/>
      <c r="E139" s="105"/>
      <c r="F139" s="105"/>
      <c r="G139" s="105"/>
      <c r="H139" s="105"/>
      <c r="I139" s="137"/>
      <c r="J139" s="33"/>
      <c r="K139" s="33"/>
      <c r="L139" s="20"/>
      <c r="M139" s="181"/>
      <c r="N139" s="215"/>
      <c r="O139" s="128"/>
      <c r="P139" s="70"/>
      <c r="BG139" s="410"/>
      <c r="BH139" s="410"/>
      <c r="BI139" s="410"/>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8"/>
      <c r="DT139" s="19"/>
    </row>
    <row r="140" spans="1:124" ht="15.75">
      <c r="A140" s="203"/>
      <c r="B140" s="98"/>
      <c r="C140" s="105"/>
      <c r="D140" s="105"/>
      <c r="E140" s="105"/>
      <c r="F140" s="139"/>
      <c r="G140" s="105"/>
      <c r="H140" s="139"/>
      <c r="I140" s="120"/>
      <c r="J140" s="33"/>
      <c r="K140" s="33"/>
      <c r="L140" s="20"/>
      <c r="M140" s="181"/>
      <c r="N140" s="150"/>
      <c r="O140" s="128"/>
      <c r="P140" s="70"/>
      <c r="BG140" s="410"/>
      <c r="BH140" s="410"/>
      <c r="BI140" s="410"/>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8"/>
      <c r="DT140" s="19"/>
    </row>
    <row r="141" spans="1:124" ht="15.75">
      <c r="A141" s="203"/>
      <c r="B141" s="98"/>
      <c r="C141" s="105"/>
      <c r="D141" s="105"/>
      <c r="E141" s="83"/>
      <c r="F141" s="83"/>
      <c r="G141" s="105"/>
      <c r="H141" s="105"/>
      <c r="I141" s="137"/>
      <c r="J141" s="33"/>
      <c r="K141" s="33"/>
      <c r="L141" s="20"/>
      <c r="M141" s="181"/>
      <c r="N141" s="150"/>
      <c r="O141" s="128"/>
      <c r="P141" s="70"/>
      <c r="BG141" s="410"/>
      <c r="BH141" s="410"/>
      <c r="BI141" s="410"/>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8"/>
      <c r="DT141" s="19"/>
    </row>
    <row r="142" spans="1:124">
      <c r="A142" s="64"/>
      <c r="B142" s="132"/>
      <c r="C142" s="105"/>
      <c r="D142" s="105"/>
      <c r="E142" s="105"/>
      <c r="F142" s="105"/>
      <c r="G142" s="83"/>
      <c r="H142" s="83"/>
      <c r="I142" s="120"/>
      <c r="J142" s="33"/>
      <c r="K142" s="33"/>
      <c r="L142" s="20"/>
      <c r="M142" s="181"/>
      <c r="N142" s="150"/>
      <c r="O142" s="128"/>
      <c r="P142" s="70"/>
      <c r="BG142" s="410"/>
      <c r="BH142" s="410"/>
      <c r="BI142" s="410"/>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8"/>
      <c r="DT142" s="19"/>
    </row>
    <row r="143" spans="1:124">
      <c r="A143" s="105"/>
      <c r="B143" s="105"/>
      <c r="C143" s="105"/>
      <c r="D143" s="212"/>
      <c r="E143" s="83"/>
      <c r="F143" s="83"/>
      <c r="G143" s="105"/>
      <c r="H143" s="139"/>
      <c r="I143" s="120"/>
      <c r="J143" s="33"/>
      <c r="K143" s="50"/>
      <c r="L143" s="20"/>
      <c r="M143" s="181"/>
      <c r="N143" s="60"/>
      <c r="O143" s="77"/>
      <c r="P143" s="70"/>
      <c r="BG143" s="410"/>
      <c r="BH143" s="410"/>
      <c r="BI143" s="410"/>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8"/>
      <c r="DT143" s="19"/>
    </row>
    <row r="144" spans="1:124">
      <c r="A144" s="205"/>
      <c r="B144" s="98"/>
      <c r="C144" s="212"/>
      <c r="D144" s="212"/>
      <c r="E144" s="105"/>
      <c r="F144" s="105"/>
      <c r="G144" s="208"/>
      <c r="H144" s="208"/>
      <c r="I144" s="120"/>
      <c r="J144" s="33"/>
      <c r="K144" s="187"/>
      <c r="L144" s="20"/>
      <c r="M144" s="181"/>
      <c r="N144" s="60"/>
      <c r="O144" s="77"/>
      <c r="P144" s="70"/>
      <c r="BG144" s="410"/>
      <c r="BH144" s="410"/>
      <c r="BI144" s="410"/>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8"/>
      <c r="DT144" s="19"/>
    </row>
    <row r="145" spans="1:124">
      <c r="A145" s="64"/>
      <c r="B145" s="98"/>
      <c r="C145" s="97"/>
      <c r="D145" s="212"/>
      <c r="E145" s="208"/>
      <c r="F145" s="208"/>
      <c r="G145" s="208"/>
      <c r="H145" s="206"/>
      <c r="I145" s="186"/>
      <c r="J145" s="33"/>
      <c r="K145" s="57"/>
      <c r="L145" s="20"/>
      <c r="M145" s="181"/>
      <c r="N145" s="53"/>
      <c r="O145" s="128"/>
      <c r="P145" s="216"/>
      <c r="BG145" s="410"/>
      <c r="BH145" s="410"/>
      <c r="BI145" s="410"/>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8"/>
      <c r="DT145" s="126"/>
    </row>
    <row r="146" spans="1:124">
      <c r="A146" s="64"/>
      <c r="B146" s="98"/>
      <c r="C146" s="212"/>
      <c r="D146" s="212"/>
      <c r="E146" s="208"/>
      <c r="F146" s="208"/>
      <c r="G146" s="208"/>
      <c r="H146" s="208"/>
      <c r="I146" s="137"/>
      <c r="J146" s="33"/>
      <c r="K146" s="57"/>
      <c r="L146" s="20"/>
      <c r="M146" s="181"/>
      <c r="N146" s="53"/>
      <c r="O146" s="128"/>
      <c r="P146" s="2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8"/>
      <c r="DT146" s="19"/>
    </row>
    <row r="147" spans="1:124">
      <c r="A147" s="64"/>
      <c r="B147" s="217"/>
      <c r="C147" s="212"/>
      <c r="D147" s="212"/>
      <c r="E147" s="105"/>
      <c r="F147" s="105"/>
      <c r="G147" s="105"/>
      <c r="H147" s="105"/>
      <c r="I147" s="105"/>
      <c r="J147" s="33"/>
      <c r="K147" s="57"/>
      <c r="L147" s="20"/>
      <c r="M147" s="181"/>
      <c r="N147" s="150"/>
      <c r="O147" s="128"/>
      <c r="P147" s="128"/>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8"/>
      <c r="DT147" s="19"/>
    </row>
    <row r="148" spans="1:124">
      <c r="A148" s="64"/>
      <c r="B148" s="98"/>
      <c r="C148" s="184"/>
      <c r="D148" s="212"/>
      <c r="E148" s="105"/>
      <c r="F148" s="105"/>
      <c r="G148" s="105"/>
      <c r="H148" s="105"/>
      <c r="I148" s="105"/>
      <c r="J148" s="33"/>
      <c r="K148" s="33"/>
      <c r="L148" s="20"/>
      <c r="M148" s="181"/>
      <c r="N148" s="150"/>
      <c r="O148" s="128"/>
      <c r="P148" s="70"/>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8"/>
      <c r="DT148" s="19"/>
    </row>
    <row r="149" spans="1:124">
      <c r="A149" s="64"/>
      <c r="B149" s="98"/>
      <c r="C149" s="184"/>
      <c r="D149" s="105"/>
      <c r="E149" s="105"/>
      <c r="F149" s="105"/>
      <c r="G149" s="105"/>
      <c r="H149" s="105"/>
      <c r="I149" s="105"/>
      <c r="J149" s="33"/>
      <c r="K149" s="187"/>
      <c r="L149" s="20"/>
      <c r="M149" s="181"/>
      <c r="N149" s="53"/>
      <c r="O149" s="128"/>
      <c r="P149" s="2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8"/>
      <c r="DT149" s="19"/>
    </row>
    <row r="150" spans="1:124">
      <c r="A150" s="105"/>
      <c r="B150" s="105"/>
      <c r="C150" s="105"/>
      <c r="D150" s="105"/>
      <c r="E150" s="105"/>
      <c r="F150" s="105"/>
      <c r="G150" s="105"/>
      <c r="H150" s="105"/>
      <c r="I150" s="105"/>
      <c r="J150" s="33"/>
      <c r="K150" s="57"/>
      <c r="L150" s="20"/>
      <c r="M150" s="181"/>
      <c r="N150" s="53"/>
      <c r="O150" s="128"/>
      <c r="P150" s="2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8"/>
      <c r="DT150" s="19"/>
    </row>
    <row r="151" spans="1:124">
      <c r="A151" s="55"/>
      <c r="B151" s="55"/>
      <c r="C151" s="55"/>
      <c r="D151" s="55"/>
      <c r="E151" s="55"/>
      <c r="F151" s="55"/>
      <c r="G151" s="55"/>
      <c r="H151" s="55"/>
      <c r="I151" s="55"/>
      <c r="J151" s="33"/>
      <c r="K151" s="57"/>
      <c r="L151" s="20"/>
      <c r="M151" s="57"/>
      <c r="N151" s="53"/>
      <c r="O151" s="128"/>
      <c r="P151" s="216"/>
      <c r="CT151" s="15"/>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8"/>
      <c r="DT151" s="100"/>
    </row>
    <row r="152" spans="1:124">
      <c r="A152" s="55"/>
      <c r="B152" s="55"/>
      <c r="C152" s="55"/>
      <c r="D152" s="55"/>
      <c r="E152" s="55"/>
      <c r="F152" s="55"/>
      <c r="G152" s="55"/>
      <c r="H152" s="55"/>
      <c r="I152" s="55"/>
      <c r="J152" s="33"/>
      <c r="K152" s="57"/>
      <c r="L152" s="20"/>
      <c r="M152" s="57"/>
      <c r="N152" s="53"/>
      <c r="O152" s="128"/>
      <c r="P152" s="216"/>
      <c r="CT152" s="15"/>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8"/>
      <c r="DT152" s="19"/>
    </row>
    <row r="153" spans="1:124">
      <c r="A153" s="55"/>
      <c r="B153" s="55"/>
      <c r="C153" s="55"/>
      <c r="D153" s="55"/>
      <c r="E153" s="55"/>
      <c r="F153" s="55"/>
      <c r="G153" s="55"/>
      <c r="H153" s="55"/>
      <c r="I153" s="55"/>
      <c r="J153" s="33"/>
      <c r="K153" s="187"/>
      <c r="L153" s="20"/>
      <c r="M153" s="189"/>
      <c r="O153" s="77"/>
      <c r="P153" s="70"/>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8"/>
      <c r="DT153" s="19"/>
    </row>
    <row r="154" spans="1:124">
      <c r="A154" s="55"/>
      <c r="B154" s="55"/>
      <c r="C154" s="55"/>
      <c r="D154" s="55"/>
      <c r="E154" s="55"/>
      <c r="F154" s="55"/>
      <c r="G154" s="55"/>
      <c r="H154" s="55"/>
      <c r="I154" s="55"/>
      <c r="J154" s="33"/>
      <c r="K154" s="33"/>
      <c r="L154" s="20"/>
      <c r="M154" s="189"/>
      <c r="O154" s="77"/>
      <c r="P154" s="70"/>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8"/>
      <c r="DT154" s="19"/>
    </row>
    <row r="155" spans="1:124">
      <c r="A155" s="55"/>
      <c r="B155" s="55"/>
      <c r="C155" s="55"/>
      <c r="D155" s="55"/>
      <c r="E155" s="55"/>
      <c r="F155" s="55"/>
      <c r="G155" s="55"/>
      <c r="H155" s="55"/>
      <c r="I155" s="55"/>
      <c r="J155" s="33"/>
      <c r="K155" s="33"/>
      <c r="L155" s="20"/>
      <c r="M155" s="189"/>
      <c r="O155" s="77"/>
      <c r="P155" s="70"/>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8"/>
      <c r="DT155" s="19"/>
    </row>
    <row r="156" spans="1:124">
      <c r="A156" s="55"/>
      <c r="B156" s="55"/>
      <c r="C156" s="55"/>
      <c r="D156" s="55"/>
      <c r="E156" s="55"/>
      <c r="F156" s="55"/>
      <c r="G156" s="55"/>
      <c r="H156" s="55"/>
      <c r="I156" s="55"/>
      <c r="J156" s="33"/>
      <c r="K156" s="33"/>
      <c r="L156" s="20"/>
      <c r="M156" s="189"/>
      <c r="O156" s="77"/>
      <c r="P156" s="70"/>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8"/>
      <c r="DT156" s="19"/>
    </row>
    <row r="157" spans="1:124">
      <c r="A157" s="55"/>
      <c r="B157" s="55"/>
      <c r="C157" s="55"/>
      <c r="D157" s="55"/>
      <c r="E157" s="55"/>
      <c r="F157" s="55"/>
      <c r="G157" s="55"/>
      <c r="H157" s="55"/>
      <c r="I157" s="55"/>
      <c r="J157" s="33"/>
      <c r="K157" s="33"/>
      <c r="L157" s="20"/>
      <c r="M157" s="189"/>
      <c r="O157" s="77"/>
      <c r="P157" s="70"/>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8"/>
      <c r="DT157" s="19"/>
    </row>
    <row r="158" spans="1:124">
      <c r="A158" s="55"/>
      <c r="B158" s="55"/>
      <c r="C158" s="55"/>
      <c r="D158" s="55"/>
      <c r="E158" s="55"/>
      <c r="F158" s="55"/>
      <c r="G158" s="55"/>
      <c r="H158" s="55"/>
      <c r="I158" s="55"/>
      <c r="J158" s="33"/>
      <c r="K158" s="33"/>
      <c r="L158" s="20"/>
      <c r="M158" s="189"/>
      <c r="O158" s="77"/>
      <c r="P158" s="70"/>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8"/>
      <c r="DT158" s="19"/>
    </row>
    <row r="159" spans="1:124">
      <c r="A159" s="55"/>
      <c r="B159" s="55"/>
      <c r="C159" s="55"/>
      <c r="D159" s="55"/>
      <c r="E159" s="55"/>
      <c r="F159" s="55"/>
      <c r="G159" s="55"/>
      <c r="H159" s="55"/>
      <c r="I159" s="55"/>
      <c r="J159" s="33"/>
      <c r="K159" s="33"/>
      <c r="L159" s="20"/>
      <c r="M159" s="57"/>
      <c r="N159" s="218"/>
      <c r="O159" s="128"/>
      <c r="P159" s="70"/>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8"/>
      <c r="DT159" s="19"/>
    </row>
    <row r="160" spans="1:124">
      <c r="A160" s="55"/>
      <c r="B160" s="55"/>
      <c r="C160" s="55"/>
      <c r="D160" s="55"/>
      <c r="E160" s="55"/>
      <c r="F160" s="55"/>
      <c r="G160" s="55"/>
      <c r="H160" s="55"/>
      <c r="I160" s="55"/>
      <c r="J160" s="33"/>
      <c r="K160" s="33"/>
      <c r="L160" s="20"/>
      <c r="M160" s="57"/>
      <c r="N160" s="218"/>
      <c r="O160" s="128"/>
      <c r="P160" s="70"/>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8"/>
      <c r="DT160" s="19"/>
    </row>
    <row r="161" spans="1:124">
      <c r="A161" s="55"/>
      <c r="B161" s="55"/>
      <c r="C161" s="55"/>
      <c r="D161" s="55"/>
      <c r="E161" s="55"/>
      <c r="F161" s="55"/>
      <c r="G161" s="55"/>
      <c r="H161" s="55"/>
      <c r="I161" s="55"/>
      <c r="J161" s="33"/>
      <c r="K161" s="33"/>
      <c r="L161" s="20"/>
      <c r="M161" s="57"/>
      <c r="N161" s="218"/>
      <c r="O161" s="128"/>
      <c r="P161" s="70"/>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8"/>
      <c r="DT161" s="19"/>
    </row>
    <row r="162" spans="1:124">
      <c r="A162" s="55"/>
      <c r="B162" s="55"/>
      <c r="C162" s="55"/>
      <c r="D162" s="55"/>
      <c r="E162" s="55"/>
      <c r="F162" s="55"/>
      <c r="G162" s="55"/>
      <c r="H162" s="56"/>
      <c r="I162" s="197"/>
      <c r="J162" s="33"/>
      <c r="K162" s="33"/>
      <c r="L162" s="20"/>
      <c r="M162" s="181"/>
      <c r="N162" s="215"/>
      <c r="O162" s="128"/>
      <c r="P162" s="70"/>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8"/>
      <c r="DT162" s="19"/>
    </row>
    <row r="163" spans="1:124">
      <c r="A163" s="55"/>
      <c r="B163" s="55"/>
      <c r="C163" s="55"/>
      <c r="D163" s="55"/>
      <c r="E163" s="55"/>
      <c r="F163" s="55"/>
      <c r="G163" s="55"/>
      <c r="H163" s="56"/>
      <c r="I163" s="198"/>
      <c r="J163" s="33"/>
      <c r="K163" s="33"/>
      <c r="L163" s="20"/>
      <c r="M163" s="190"/>
      <c r="N163" s="215"/>
      <c r="O163" s="77"/>
      <c r="P163" s="129"/>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8"/>
      <c r="DT163" s="19"/>
    </row>
    <row r="164" spans="1:124">
      <c r="A164" s="55"/>
      <c r="B164" s="55"/>
      <c r="C164" s="55"/>
      <c r="D164" s="55"/>
      <c r="E164" s="55"/>
      <c r="F164" s="55"/>
      <c r="G164" s="55"/>
      <c r="H164" s="200"/>
      <c r="I164" s="25"/>
      <c r="J164" s="33"/>
      <c r="K164" s="33"/>
      <c r="L164" s="20"/>
      <c r="M164" s="181"/>
      <c r="N164" s="126"/>
      <c r="O164" s="128"/>
      <c r="P164" s="70"/>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8"/>
      <c r="DT164" s="19"/>
    </row>
    <row r="165" spans="1:124">
      <c r="A165" s="202"/>
      <c r="B165" s="105"/>
      <c r="C165" s="105"/>
      <c r="D165" s="105"/>
      <c r="E165" s="105"/>
      <c r="F165" s="105"/>
      <c r="G165" s="105"/>
      <c r="H165" s="56"/>
      <c r="I165" s="201"/>
      <c r="J165" s="33"/>
      <c r="K165" s="33"/>
      <c r="L165" s="20"/>
      <c r="M165" s="181"/>
      <c r="N165" s="126"/>
      <c r="O165" s="128"/>
      <c r="P165" s="70"/>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8"/>
      <c r="DT165" s="19"/>
    </row>
    <row r="166" spans="1:124" ht="15.75">
      <c r="A166" s="203"/>
      <c r="B166" s="105"/>
      <c r="C166" s="105"/>
      <c r="D166" s="105"/>
      <c r="E166" s="105"/>
      <c r="F166" s="105"/>
      <c r="G166" s="105"/>
      <c r="H166" s="219"/>
      <c r="I166" s="220"/>
      <c r="J166" s="33"/>
      <c r="K166" s="33"/>
      <c r="L166" s="39"/>
      <c r="M166" s="181"/>
      <c r="N166" s="215"/>
      <c r="O166" s="128"/>
      <c r="P166" s="70"/>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8"/>
      <c r="DT166" s="19"/>
    </row>
    <row r="167" spans="1:124" ht="15.75">
      <c r="A167" s="203"/>
      <c r="B167" s="105"/>
      <c r="C167" s="105"/>
      <c r="D167" s="105"/>
      <c r="E167" s="105"/>
      <c r="F167" s="105"/>
      <c r="G167" s="208"/>
      <c r="H167" s="55"/>
      <c r="I167" s="221"/>
      <c r="J167" s="33"/>
      <c r="K167" s="33"/>
      <c r="L167" s="20"/>
      <c r="M167" s="181"/>
      <c r="N167" s="215"/>
      <c r="O167" s="128"/>
      <c r="P167" s="70"/>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8"/>
      <c r="DT167" s="19"/>
    </row>
    <row r="168" spans="1:124">
      <c r="A168" s="105"/>
      <c r="B168" s="105"/>
      <c r="C168" s="105"/>
      <c r="D168" s="105"/>
      <c r="E168" s="105"/>
      <c r="F168" s="105"/>
      <c r="G168" s="208"/>
      <c r="H168" s="139"/>
      <c r="I168" s="83"/>
      <c r="J168" s="33"/>
      <c r="K168" s="33"/>
      <c r="L168" s="222"/>
      <c r="M168" s="181"/>
      <c r="N168" s="215"/>
      <c r="O168" s="128"/>
      <c r="P168" s="70"/>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8"/>
      <c r="DT168" s="19"/>
    </row>
    <row r="169" spans="1:124">
      <c r="A169" s="205"/>
      <c r="B169" s="104"/>
      <c r="C169" s="208"/>
      <c r="D169" s="212"/>
      <c r="E169" s="208"/>
      <c r="F169" s="208"/>
      <c r="G169" s="208"/>
      <c r="H169" s="206"/>
      <c r="I169" s="186"/>
      <c r="J169" s="33"/>
      <c r="K169" s="33"/>
      <c r="L169" s="57"/>
      <c r="M169" s="190"/>
      <c r="N169" s="215"/>
      <c r="O169" s="77"/>
      <c r="P169" s="129"/>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8"/>
      <c r="DT169" s="19"/>
    </row>
    <row r="170" spans="1:124">
      <c r="A170" s="64"/>
      <c r="B170" s="98"/>
      <c r="C170" s="208"/>
      <c r="D170" s="184"/>
      <c r="E170" s="208"/>
      <c r="F170" s="208"/>
      <c r="G170" s="208"/>
      <c r="H170" s="206"/>
      <c r="I170" s="186"/>
      <c r="J170" s="33"/>
      <c r="K170" s="33"/>
      <c r="L170" s="210"/>
      <c r="M170" s="190"/>
      <c r="N170" s="191"/>
      <c r="O170" s="77"/>
      <c r="P170" s="129"/>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8"/>
      <c r="DT170" s="19"/>
    </row>
    <row r="171" spans="1:124">
      <c r="A171" s="64"/>
      <c r="B171" s="98"/>
      <c r="C171" s="208"/>
      <c r="D171" s="184"/>
      <c r="E171" s="208"/>
      <c r="F171" s="208"/>
      <c r="G171" s="208"/>
      <c r="H171" s="105"/>
      <c r="I171" s="207"/>
      <c r="J171" s="33"/>
      <c r="K171" s="33"/>
      <c r="L171" s="181"/>
      <c r="M171" s="190"/>
      <c r="N171" s="215"/>
      <c r="O171" s="77"/>
      <c r="P171" s="100"/>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8"/>
      <c r="DT171" s="19"/>
    </row>
    <row r="172" spans="1:124" ht="16.5">
      <c r="A172" s="203"/>
      <c r="B172" s="132"/>
      <c r="C172" s="204"/>
      <c r="D172" s="105"/>
      <c r="E172" s="208"/>
      <c r="F172" s="208"/>
      <c r="G172" s="208"/>
      <c r="H172" s="208"/>
      <c r="I172" s="207"/>
      <c r="J172" s="33"/>
      <c r="K172" s="33"/>
      <c r="L172" s="187"/>
      <c r="M172" s="181"/>
      <c r="N172" s="148"/>
      <c r="O172" s="128"/>
      <c r="P172" s="70"/>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8"/>
      <c r="DT172" s="19"/>
    </row>
    <row r="173" spans="1:124">
      <c r="A173" s="64"/>
      <c r="B173" s="132"/>
      <c r="C173" s="105"/>
      <c r="D173" s="105"/>
      <c r="E173" s="105"/>
      <c r="F173" s="105"/>
      <c r="G173" s="105"/>
      <c r="H173" s="208"/>
      <c r="I173" s="207"/>
      <c r="J173" s="33"/>
      <c r="K173" s="33"/>
      <c r="L173" s="181"/>
      <c r="M173" s="181"/>
      <c r="N173" s="148"/>
      <c r="O173" s="128"/>
      <c r="P173" s="70"/>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8"/>
      <c r="DT173" s="19"/>
    </row>
    <row r="174" spans="1:124">
      <c r="A174" s="64"/>
      <c r="B174" s="132"/>
      <c r="C174" s="105"/>
      <c r="D174" s="105"/>
      <c r="E174" s="105"/>
      <c r="F174" s="105"/>
      <c r="G174" s="105"/>
      <c r="H174" s="208"/>
      <c r="I174" s="207"/>
      <c r="J174" s="33"/>
      <c r="K174" s="33"/>
      <c r="L174" s="210"/>
      <c r="M174" s="190"/>
      <c r="N174" s="215"/>
      <c r="O174" s="77"/>
      <c r="P174" s="129"/>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8"/>
      <c r="DT174" s="19"/>
    </row>
    <row r="175" spans="1:124" ht="15.75">
      <c r="A175" s="203"/>
      <c r="B175" s="98"/>
      <c r="C175" s="105"/>
      <c r="D175" s="105"/>
      <c r="E175" s="105"/>
      <c r="F175" s="105"/>
      <c r="G175" s="105"/>
      <c r="H175" s="208"/>
      <c r="I175" s="207"/>
      <c r="J175" s="33"/>
      <c r="K175" s="33"/>
      <c r="L175" s="223"/>
      <c r="M175" s="181"/>
      <c r="N175" s="150"/>
      <c r="O175" s="128"/>
      <c r="P175" s="20"/>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8"/>
      <c r="DT175" s="19"/>
    </row>
    <row r="176" spans="1:124" ht="15.75">
      <c r="A176" s="203"/>
      <c r="B176" s="98"/>
      <c r="C176" s="105"/>
      <c r="D176" s="105"/>
      <c r="E176" s="105"/>
      <c r="F176" s="105"/>
      <c r="G176" s="208"/>
      <c r="H176" s="105"/>
      <c r="I176" s="137"/>
      <c r="J176" s="33"/>
      <c r="K176" s="33"/>
      <c r="L176" s="20"/>
      <c r="M176" s="20"/>
      <c r="O176" s="77"/>
      <c r="P176" s="20"/>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8"/>
      <c r="DT176" s="19"/>
    </row>
    <row r="177" spans="1:124">
      <c r="A177" s="105"/>
      <c r="B177" s="105"/>
      <c r="C177" s="105"/>
      <c r="D177" s="105"/>
      <c r="E177" s="105"/>
      <c r="F177" s="105"/>
      <c r="G177" s="208"/>
      <c r="H177" s="206"/>
      <c r="I177" s="186"/>
      <c r="J177" s="33"/>
      <c r="K177" s="33"/>
      <c r="L177" s="20"/>
      <c r="M177" s="189"/>
      <c r="O177" s="77"/>
      <c r="P177" s="224"/>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8"/>
      <c r="DT177" s="19"/>
    </row>
    <row r="178" spans="1:124">
      <c r="A178" s="105"/>
      <c r="B178" s="105"/>
      <c r="C178" s="105"/>
      <c r="D178" s="105"/>
      <c r="E178" s="105"/>
      <c r="F178" s="105"/>
      <c r="G178" s="105"/>
      <c r="H178" s="206"/>
      <c r="I178" s="186"/>
      <c r="J178" s="33"/>
      <c r="K178" s="33"/>
      <c r="L178" s="20"/>
      <c r="M178" s="181"/>
      <c r="N178" s="150"/>
      <c r="O178" s="128"/>
      <c r="P178" s="70"/>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8"/>
      <c r="DT178" s="19"/>
    </row>
    <row r="179" spans="1:124">
      <c r="A179" s="205"/>
      <c r="B179" s="104"/>
      <c r="C179" s="208"/>
      <c r="D179" s="212"/>
      <c r="E179" s="208"/>
      <c r="F179" s="208"/>
      <c r="G179" s="208"/>
      <c r="H179" s="139"/>
      <c r="I179" s="120"/>
      <c r="J179" s="33"/>
      <c r="K179" s="33"/>
      <c r="L179" s="20"/>
      <c r="M179" s="181"/>
      <c r="N179" s="150"/>
      <c r="O179" s="128"/>
      <c r="P179" s="70"/>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8"/>
      <c r="DT179" s="19"/>
    </row>
    <row r="180" spans="1:124">
      <c r="A180" s="64"/>
      <c r="B180" s="98"/>
      <c r="C180" s="208"/>
      <c r="D180" s="184"/>
      <c r="E180" s="208"/>
      <c r="F180" s="208"/>
      <c r="G180" s="208"/>
      <c r="H180" s="105"/>
      <c r="I180" s="137"/>
      <c r="J180" s="33"/>
      <c r="K180" s="33"/>
      <c r="L180" s="20"/>
      <c r="M180" s="181"/>
      <c r="N180" s="150"/>
      <c r="O180" s="128"/>
      <c r="P180" s="70"/>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8"/>
      <c r="DT180" s="19"/>
    </row>
    <row r="181" spans="1:124">
      <c r="A181" s="64"/>
      <c r="B181" s="98"/>
      <c r="C181" s="208"/>
      <c r="D181" s="184"/>
      <c r="E181" s="208"/>
      <c r="F181" s="208"/>
      <c r="G181" s="208"/>
      <c r="H181" s="185"/>
      <c r="I181" s="192"/>
      <c r="J181" s="33"/>
      <c r="K181" s="33"/>
      <c r="L181" s="20"/>
      <c r="M181" s="181"/>
      <c r="N181" s="150"/>
      <c r="O181" s="128"/>
      <c r="P181" s="70"/>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8"/>
      <c r="DT181" s="19"/>
    </row>
    <row r="182" spans="1:124" ht="16.5">
      <c r="A182" s="203"/>
      <c r="B182" s="132"/>
      <c r="C182" s="204"/>
      <c r="D182" s="105"/>
      <c r="E182" s="208"/>
      <c r="F182" s="208"/>
      <c r="G182" s="105"/>
      <c r="H182" s="105"/>
      <c r="I182" s="120"/>
      <c r="J182" s="33"/>
      <c r="K182" s="33"/>
      <c r="L182" s="20"/>
      <c r="M182" s="189"/>
      <c r="O182" s="77"/>
      <c r="P182" s="70"/>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8"/>
      <c r="DT182" s="19"/>
    </row>
    <row r="183" spans="1:124">
      <c r="A183" s="64"/>
      <c r="B183" s="132"/>
      <c r="C183" s="105"/>
      <c r="D183" s="105"/>
      <c r="E183" s="105"/>
      <c r="F183" s="105"/>
      <c r="G183" s="105"/>
      <c r="H183" s="105"/>
      <c r="I183" s="137"/>
      <c r="J183" s="33"/>
      <c r="K183" s="33"/>
      <c r="L183" s="20"/>
      <c r="M183" s="181"/>
      <c r="N183" s="148"/>
      <c r="O183" s="128"/>
      <c r="P183" s="70"/>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8"/>
      <c r="DT183" s="19"/>
    </row>
    <row r="184" spans="1:124">
      <c r="A184" s="64"/>
      <c r="B184" s="132"/>
      <c r="C184" s="105"/>
      <c r="D184" s="105"/>
      <c r="E184" s="105"/>
      <c r="F184" s="105"/>
      <c r="G184" s="105"/>
      <c r="H184" s="105"/>
      <c r="I184" s="137"/>
      <c r="J184" s="33"/>
      <c r="K184" s="33"/>
      <c r="L184" s="20"/>
      <c r="M184" s="181"/>
      <c r="N184" s="150"/>
      <c r="O184" s="128"/>
      <c r="P184" s="70"/>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8"/>
      <c r="DT184" s="19"/>
    </row>
    <row r="185" spans="1:124" ht="15.75">
      <c r="A185" s="203"/>
      <c r="B185" s="98"/>
      <c r="C185" s="105"/>
      <c r="D185" s="105"/>
      <c r="E185" s="105"/>
      <c r="F185" s="105"/>
      <c r="G185" s="105"/>
      <c r="H185" s="206"/>
      <c r="I185" s="186"/>
      <c r="J185" s="33"/>
      <c r="K185" s="33"/>
      <c r="L185" s="20"/>
      <c r="M185" s="181"/>
      <c r="N185" s="150"/>
      <c r="O185" s="128"/>
      <c r="P185" s="70"/>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8"/>
      <c r="DT185" s="19"/>
    </row>
    <row r="186" spans="1:124" ht="15.75">
      <c r="A186" s="203"/>
      <c r="B186" s="98"/>
      <c r="C186" s="105"/>
      <c r="D186" s="105"/>
      <c r="E186" s="105"/>
      <c r="F186" s="105"/>
      <c r="G186" s="105"/>
      <c r="H186" s="206"/>
      <c r="I186" s="186"/>
      <c r="J186" s="33"/>
      <c r="K186" s="33"/>
      <c r="L186" s="20"/>
      <c r="M186" s="20"/>
      <c r="O186" s="77"/>
      <c r="P186" s="70"/>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8"/>
      <c r="DT186" s="19"/>
    </row>
    <row r="187" spans="1:124">
      <c r="A187" s="105"/>
      <c r="B187" s="98"/>
      <c r="C187" s="208"/>
      <c r="D187" s="213"/>
      <c r="E187" s="105"/>
      <c r="F187" s="105"/>
      <c r="G187" s="105"/>
      <c r="H187" s="105"/>
      <c r="I187" s="225"/>
      <c r="J187" s="33"/>
      <c r="K187" s="33"/>
      <c r="L187" s="20"/>
      <c r="M187" s="210"/>
      <c r="N187" s="60"/>
      <c r="O187" s="128"/>
      <c r="P187" s="70"/>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8"/>
      <c r="DT187" s="19"/>
    </row>
    <row r="188" spans="1:124">
      <c r="A188" s="105"/>
      <c r="B188" s="104"/>
      <c r="C188" s="184"/>
      <c r="D188" s="184"/>
      <c r="E188" s="105"/>
      <c r="F188" s="105"/>
      <c r="G188" s="105"/>
      <c r="H188" s="105"/>
      <c r="I188" s="225"/>
      <c r="J188" s="33"/>
      <c r="K188" s="33"/>
      <c r="L188" s="20"/>
      <c r="M188" s="181"/>
      <c r="N188" s="148"/>
      <c r="O188" s="128"/>
      <c r="P188" s="70"/>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8"/>
      <c r="DT188" s="19"/>
    </row>
    <row r="189" spans="1:124">
      <c r="A189" s="214"/>
      <c r="B189" s="105"/>
      <c r="C189" s="105"/>
      <c r="D189" s="105"/>
      <c r="E189" s="105"/>
      <c r="F189" s="105"/>
      <c r="G189" s="105"/>
      <c r="H189" s="105"/>
      <c r="I189" s="137"/>
      <c r="J189" s="33"/>
      <c r="K189" s="33"/>
      <c r="L189" s="20"/>
      <c r="M189" s="181"/>
      <c r="N189" s="150"/>
      <c r="O189" s="128"/>
      <c r="CT189" s="16"/>
      <c r="CU189" s="16"/>
      <c r="CV189" s="16"/>
      <c r="CW189" s="16"/>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8"/>
      <c r="DT189" s="150"/>
    </row>
    <row r="190" spans="1:124" ht="15.75">
      <c r="A190" s="203"/>
      <c r="B190" s="98"/>
      <c r="C190" s="105"/>
      <c r="D190" s="105"/>
      <c r="E190" s="105"/>
      <c r="F190" s="105"/>
      <c r="G190" s="105"/>
      <c r="H190" s="206"/>
      <c r="I190" s="186"/>
      <c r="J190" s="33"/>
      <c r="K190" s="33"/>
      <c r="L190" s="20"/>
      <c r="M190" s="181"/>
      <c r="N190" s="215"/>
      <c r="O190" s="128"/>
      <c r="P190" s="70"/>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8"/>
      <c r="DT190" s="148"/>
    </row>
    <row r="191" spans="1:124" ht="15.75">
      <c r="A191" s="203"/>
      <c r="B191" s="98"/>
      <c r="C191" s="105"/>
      <c r="D191" s="105"/>
      <c r="E191" s="105"/>
      <c r="F191" s="105"/>
      <c r="G191" s="208"/>
      <c r="H191" s="206"/>
      <c r="I191" s="186"/>
      <c r="J191" s="33"/>
      <c r="K191" s="33"/>
      <c r="L191" s="20"/>
      <c r="M191" s="181"/>
      <c r="N191" s="150"/>
      <c r="O191" s="128"/>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8"/>
      <c r="DT191" s="150"/>
    </row>
    <row r="192" spans="1:124">
      <c r="A192" s="105"/>
      <c r="B192" s="104"/>
      <c r="C192" s="212"/>
      <c r="D192" s="184"/>
      <c r="E192" s="208"/>
      <c r="F192" s="105"/>
      <c r="G192" s="105"/>
      <c r="H192" s="64"/>
      <c r="I192" s="226"/>
      <c r="J192" s="33"/>
      <c r="K192" s="33"/>
      <c r="L192" s="20"/>
      <c r="M192" s="181"/>
      <c r="N192" s="150"/>
      <c r="O192" s="128"/>
      <c r="P192" s="70"/>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8"/>
      <c r="DT192" s="19"/>
    </row>
    <row r="193" spans="1:124">
      <c r="A193" s="105"/>
      <c r="B193" s="105"/>
      <c r="C193" s="105"/>
      <c r="D193" s="105"/>
      <c r="E193" s="105"/>
      <c r="F193" s="105"/>
      <c r="G193" s="105"/>
      <c r="H193" s="105"/>
      <c r="I193" s="105"/>
      <c r="J193" s="33"/>
      <c r="K193" s="33"/>
      <c r="L193" s="20"/>
      <c r="M193" s="20"/>
      <c r="O193" s="77"/>
      <c r="P193" s="70"/>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8"/>
      <c r="DT193" s="19"/>
    </row>
    <row r="194" spans="1:124">
      <c r="A194" s="205"/>
      <c r="B194" s="98"/>
      <c r="C194" s="212"/>
      <c r="D194" s="212"/>
      <c r="E194" s="83"/>
      <c r="F194" s="83"/>
      <c r="G194" s="105"/>
      <c r="H194" s="139"/>
      <c r="I194" s="120"/>
      <c r="J194" s="33"/>
      <c r="K194" s="33"/>
      <c r="L194" s="20"/>
      <c r="M194" s="181"/>
      <c r="N194" s="150"/>
      <c r="O194" s="128"/>
      <c r="P194" s="70"/>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8"/>
      <c r="DT194" s="19"/>
    </row>
    <row r="195" spans="1:124">
      <c r="A195" s="64"/>
      <c r="B195" s="98"/>
      <c r="C195" s="97"/>
      <c r="D195" s="212"/>
      <c r="E195" s="105"/>
      <c r="F195" s="105"/>
      <c r="G195" s="105"/>
      <c r="H195" s="105"/>
      <c r="I195" s="137"/>
      <c r="J195" s="33"/>
      <c r="K195" s="33"/>
      <c r="L195" s="20"/>
      <c r="M195" s="181"/>
      <c r="N195" s="148"/>
      <c r="O195" s="128"/>
      <c r="P195" s="70"/>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8"/>
      <c r="DT195" s="19"/>
    </row>
    <row r="196" spans="1:124">
      <c r="A196" s="64"/>
      <c r="B196" s="98"/>
      <c r="C196" s="212"/>
      <c r="D196" s="212"/>
      <c r="E196" s="83"/>
      <c r="F196" s="83"/>
      <c r="G196" s="83"/>
      <c r="H196" s="83"/>
      <c r="I196" s="120"/>
      <c r="J196" s="33"/>
      <c r="K196" s="33"/>
      <c r="L196" s="20"/>
      <c r="M196" s="190"/>
      <c r="N196" s="191"/>
      <c r="O196" s="128"/>
      <c r="P196" s="129"/>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8"/>
      <c r="DT196" s="19"/>
    </row>
    <row r="197" spans="1:124">
      <c r="A197" s="64"/>
      <c r="B197" s="217"/>
      <c r="C197" s="212"/>
      <c r="D197" s="212"/>
      <c r="E197" s="105"/>
      <c r="F197" s="105"/>
      <c r="G197" s="105"/>
      <c r="H197" s="139"/>
      <c r="I197" s="120"/>
      <c r="J197" s="33"/>
      <c r="K197" s="33"/>
      <c r="L197" s="20"/>
      <c r="M197" s="190"/>
      <c r="N197" s="191"/>
      <c r="O197" s="128"/>
      <c r="P197" s="129"/>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8"/>
      <c r="DT197" s="19"/>
    </row>
    <row r="198" spans="1:124">
      <c r="A198" s="64"/>
      <c r="B198" s="98"/>
      <c r="C198" s="184"/>
      <c r="D198" s="212"/>
      <c r="E198" s="208"/>
      <c r="F198" s="208"/>
      <c r="G198" s="208"/>
      <c r="H198" s="208"/>
      <c r="I198" s="120"/>
      <c r="J198" s="33"/>
      <c r="K198" s="33"/>
      <c r="L198" s="20"/>
      <c r="M198" s="20"/>
      <c r="O198" s="77"/>
      <c r="P198" s="70"/>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8"/>
      <c r="DT198" s="19"/>
    </row>
    <row r="199" spans="1:124">
      <c r="A199" s="64"/>
      <c r="B199" s="98"/>
      <c r="C199" s="184"/>
      <c r="D199" s="212"/>
      <c r="E199" s="208"/>
      <c r="F199" s="208"/>
      <c r="G199" s="208"/>
      <c r="H199" s="206"/>
      <c r="I199" s="186"/>
      <c r="J199" s="33"/>
      <c r="K199" s="33"/>
      <c r="L199" s="20"/>
      <c r="M199" s="181"/>
      <c r="N199" s="148"/>
      <c r="O199" s="128"/>
      <c r="P199" s="70"/>
      <c r="CT199" s="16"/>
      <c r="CU199" s="16"/>
      <c r="CV199" s="16"/>
      <c r="CW199" s="16"/>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8"/>
      <c r="DT199" s="19"/>
    </row>
    <row r="200" spans="1:124">
      <c r="A200" s="185"/>
      <c r="B200" s="227"/>
      <c r="C200" s="83"/>
      <c r="D200" s="228"/>
      <c r="E200" s="105"/>
      <c r="F200" s="105"/>
      <c r="G200" s="105"/>
      <c r="H200" s="55"/>
      <c r="I200" s="55"/>
      <c r="J200" s="33"/>
      <c r="K200" s="33"/>
      <c r="L200" s="20"/>
      <c r="M200" s="181"/>
      <c r="N200" s="150"/>
      <c r="O200" s="128"/>
      <c r="P200" s="70"/>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8"/>
      <c r="DT200" s="19"/>
    </row>
    <row r="201" spans="1:124">
      <c r="A201" s="183"/>
      <c r="B201" s="104"/>
      <c r="C201" s="212"/>
      <c r="D201" s="212"/>
      <c r="E201" s="51"/>
      <c r="F201" s="105"/>
      <c r="G201" s="105"/>
      <c r="H201" s="55"/>
      <c r="I201" s="38"/>
      <c r="J201" s="33"/>
      <c r="K201" s="33"/>
      <c r="L201" s="20"/>
      <c r="M201" s="181"/>
      <c r="N201" s="150"/>
      <c r="O201" s="128"/>
      <c r="P201" s="70"/>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8"/>
      <c r="DT201" s="19"/>
    </row>
    <row r="202" spans="1:124">
      <c r="A202" s="219"/>
      <c r="B202" s="44"/>
      <c r="C202" s="110"/>
      <c r="D202" s="229"/>
      <c r="E202" s="189"/>
      <c r="F202" s="55"/>
      <c r="G202" s="55"/>
      <c r="H202" s="55"/>
      <c r="I202" s="38"/>
      <c r="J202" s="33"/>
      <c r="K202" s="33"/>
      <c r="L202" s="20"/>
      <c r="M202" s="33"/>
      <c r="O202" s="77"/>
      <c r="P202" s="70"/>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8"/>
      <c r="DT202" s="19"/>
    </row>
    <row r="203" spans="1:124">
      <c r="A203" s="230"/>
      <c r="B203" s="231"/>
      <c r="C203" s="110"/>
      <c r="D203" s="232"/>
      <c r="E203" s="233"/>
      <c r="F203" s="55"/>
      <c r="G203" s="55"/>
      <c r="H203" s="55"/>
      <c r="I203" s="55"/>
      <c r="J203" s="33"/>
      <c r="K203" s="33"/>
      <c r="L203" s="20"/>
      <c r="M203" s="181"/>
      <c r="N203" s="148"/>
      <c r="O203" s="128"/>
      <c r="P203" s="70"/>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8"/>
      <c r="DT203" s="19"/>
    </row>
    <row r="204" spans="1:124">
      <c r="A204" s="234"/>
      <c r="B204" s="231"/>
      <c r="C204" s="110"/>
      <c r="D204" s="232"/>
      <c r="E204" s="233"/>
      <c r="F204" s="55"/>
      <c r="G204" s="55"/>
      <c r="H204" s="55"/>
      <c r="I204" s="55"/>
      <c r="J204" s="33"/>
      <c r="K204" s="33"/>
      <c r="L204" s="20"/>
      <c r="M204" s="181"/>
      <c r="N204" s="150"/>
      <c r="O204" s="128"/>
      <c r="P204" s="70"/>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8"/>
      <c r="DT204" s="19"/>
    </row>
    <row r="205" spans="1:124">
      <c r="A205" s="67"/>
      <c r="B205" s="231"/>
      <c r="C205" s="55"/>
      <c r="D205" s="110"/>
      <c r="E205" s="55"/>
      <c r="F205" s="55"/>
      <c r="G205" s="55"/>
      <c r="H205" s="55"/>
      <c r="I205" s="55"/>
      <c r="J205" s="33"/>
      <c r="K205" s="33"/>
      <c r="L205" s="20"/>
      <c r="M205" s="181"/>
      <c r="N205" s="148"/>
      <c r="O205" s="128"/>
      <c r="P205" s="70"/>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8"/>
      <c r="DT205" s="19"/>
    </row>
    <row r="206" spans="1:124">
      <c r="A206" s="67"/>
      <c r="B206" s="231"/>
      <c r="C206" s="55"/>
      <c r="D206" s="55"/>
      <c r="E206" s="55"/>
      <c r="F206" s="55"/>
      <c r="G206" s="235"/>
      <c r="H206" s="55"/>
      <c r="I206" s="55"/>
      <c r="J206" s="33"/>
      <c r="K206" s="33"/>
      <c r="L206" s="20"/>
      <c r="M206" s="190"/>
      <c r="N206" s="148"/>
      <c r="O206" s="128"/>
      <c r="P206" s="129"/>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8"/>
      <c r="DT206" s="19"/>
    </row>
    <row r="207" spans="1:124">
      <c r="A207" s="219"/>
      <c r="B207" s="231"/>
      <c r="C207" s="229"/>
      <c r="D207" s="177"/>
      <c r="E207" s="177"/>
      <c r="F207" s="177"/>
      <c r="G207" s="177"/>
      <c r="H207" s="177"/>
      <c r="I207" s="38"/>
      <c r="J207" s="33"/>
      <c r="K207" s="33"/>
      <c r="L207" s="20"/>
      <c r="M207" s="190"/>
      <c r="N207" s="191"/>
      <c r="O207" s="128"/>
      <c r="P207" s="129"/>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8"/>
      <c r="DT207" s="19"/>
    </row>
    <row r="208" spans="1:124">
      <c r="A208" s="234"/>
      <c r="B208" s="25"/>
      <c r="C208" s="38"/>
      <c r="D208" s="229"/>
      <c r="E208" s="177"/>
      <c r="F208" s="177"/>
      <c r="G208" s="177"/>
      <c r="H208" s="177"/>
      <c r="I208" s="38"/>
      <c r="J208" s="33"/>
      <c r="K208" s="33"/>
      <c r="L208" s="20"/>
      <c r="M208" s="33"/>
      <c r="O208" s="77"/>
      <c r="P208" s="70"/>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8"/>
      <c r="DT208" s="19"/>
    </row>
    <row r="209" spans="1:124">
      <c r="A209" s="38"/>
      <c r="B209" s="55"/>
      <c r="C209" s="38"/>
      <c r="D209" s="229"/>
      <c r="E209" s="177"/>
      <c r="F209" s="177"/>
      <c r="G209" s="177"/>
      <c r="H209" s="55"/>
      <c r="I209" s="177"/>
      <c r="J209" s="33"/>
      <c r="K209" s="33"/>
      <c r="L209" s="20"/>
      <c r="M209" s="181"/>
      <c r="N209" s="150"/>
      <c r="O209" s="128"/>
      <c r="P209" s="70"/>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8"/>
      <c r="DT209" s="19"/>
    </row>
    <row r="210" spans="1:124">
      <c r="A210" s="55"/>
      <c r="B210" s="55"/>
      <c r="C210" s="55"/>
      <c r="D210" s="55"/>
      <c r="E210" s="55"/>
      <c r="F210" s="55"/>
      <c r="G210" s="55"/>
      <c r="H210" s="235"/>
      <c r="I210" s="38"/>
      <c r="J210" s="33"/>
      <c r="K210" s="33"/>
      <c r="L210" s="20"/>
      <c r="M210" s="181"/>
      <c r="N210" s="150"/>
      <c r="O210" s="128"/>
      <c r="P210" s="70"/>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8"/>
      <c r="DT210" s="19"/>
    </row>
    <row r="211" spans="1:124">
      <c r="A211" s="55"/>
      <c r="B211" s="55"/>
      <c r="C211" s="55"/>
      <c r="D211" s="55"/>
      <c r="E211" s="55"/>
      <c r="F211" s="55"/>
      <c r="G211" s="55"/>
      <c r="H211" s="235"/>
      <c r="I211" s="38"/>
      <c r="J211" s="33"/>
      <c r="K211" s="33"/>
      <c r="L211" s="20"/>
      <c r="M211" s="181"/>
      <c r="N211" s="150"/>
      <c r="O211" s="128"/>
      <c r="P211" s="70"/>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8"/>
      <c r="DT211" s="19"/>
    </row>
    <row r="212" spans="1:124">
      <c r="A212" s="55"/>
      <c r="B212" s="55"/>
      <c r="C212" s="55"/>
      <c r="D212" s="55"/>
      <c r="E212" s="55"/>
      <c r="F212" s="55"/>
      <c r="G212" s="55"/>
      <c r="H212" s="235"/>
      <c r="I212" s="38"/>
      <c r="J212" s="33"/>
      <c r="K212" s="33"/>
      <c r="L212" s="20"/>
      <c r="M212" s="181"/>
      <c r="N212" s="150"/>
      <c r="O212" s="128"/>
      <c r="P212" s="70"/>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8"/>
      <c r="DT212" s="19"/>
    </row>
    <row r="213" spans="1:124">
      <c r="A213" s="55"/>
      <c r="B213" s="55"/>
      <c r="C213" s="55"/>
      <c r="D213" s="55"/>
      <c r="E213" s="55"/>
      <c r="F213" s="55"/>
      <c r="G213" s="55"/>
      <c r="H213" s="235"/>
      <c r="I213" s="38"/>
      <c r="J213" s="33"/>
      <c r="K213" s="33"/>
      <c r="L213" s="20"/>
      <c r="M213" s="181"/>
      <c r="N213" s="150"/>
      <c r="O213" s="128"/>
      <c r="P213" s="70"/>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8"/>
      <c r="DT213" s="19"/>
    </row>
    <row r="214" spans="1:124">
      <c r="A214" s="55"/>
      <c r="B214" s="55"/>
      <c r="C214" s="55"/>
      <c r="D214" s="55"/>
      <c r="E214" s="38"/>
      <c r="F214" s="38"/>
      <c r="G214" s="38"/>
      <c r="H214" s="195"/>
      <c r="I214" s="236"/>
      <c r="J214" s="33"/>
      <c r="K214" s="33"/>
      <c r="L214" s="20"/>
      <c r="M214" s="33"/>
      <c r="O214" s="77"/>
      <c r="P214" s="70"/>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8"/>
      <c r="DT214" s="19"/>
    </row>
    <row r="215" spans="1:124">
      <c r="A215" s="55"/>
      <c r="B215" s="55"/>
      <c r="C215" s="55"/>
      <c r="D215" s="55"/>
      <c r="E215" s="55"/>
      <c r="F215" s="55"/>
      <c r="G215" s="55"/>
      <c r="H215" s="195"/>
      <c r="I215" s="197"/>
      <c r="J215" s="33"/>
      <c r="K215" s="33"/>
      <c r="L215" s="20"/>
      <c r="M215" s="181"/>
      <c r="N215" s="126"/>
      <c r="O215" s="128"/>
      <c r="P215" s="70"/>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8"/>
      <c r="DT215" s="19"/>
    </row>
    <row r="216" spans="1:124">
      <c r="A216" s="237"/>
      <c r="B216" s="53"/>
      <c r="C216" s="55"/>
      <c r="D216" s="55"/>
      <c r="E216" s="55"/>
      <c r="F216" s="55"/>
      <c r="G216" s="55"/>
      <c r="H216" s="195"/>
      <c r="I216" s="198"/>
      <c r="J216" s="33"/>
      <c r="K216" s="33"/>
      <c r="L216" s="20"/>
      <c r="M216" s="181"/>
      <c r="N216" s="126"/>
      <c r="O216" s="128"/>
      <c r="P216" s="70"/>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8"/>
      <c r="DT216" s="19"/>
    </row>
    <row r="217" spans="1:124">
      <c r="A217" s="219"/>
      <c r="B217" s="176"/>
      <c r="C217" s="229"/>
      <c r="D217" s="229"/>
      <c r="E217" s="55"/>
      <c r="F217" s="177"/>
      <c r="G217" s="55"/>
      <c r="H217" s="238"/>
      <c r="I217" s="25"/>
      <c r="J217" s="33"/>
      <c r="K217" s="33"/>
      <c r="L217" s="20"/>
      <c r="M217" s="181"/>
      <c r="N217" s="150"/>
      <c r="O217" s="128"/>
      <c r="P217" s="70"/>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8"/>
      <c r="DT217" s="19"/>
    </row>
    <row r="218" spans="1:124">
      <c r="A218" s="234"/>
      <c r="B218" s="53"/>
      <c r="C218" s="110"/>
      <c r="D218" s="229"/>
      <c r="E218" s="55"/>
      <c r="F218" s="177"/>
      <c r="G218" s="55"/>
      <c r="H218" s="195"/>
      <c r="I218" s="25"/>
      <c r="J218" s="33"/>
      <c r="K218" s="33"/>
      <c r="L218" s="20"/>
      <c r="M218" s="181"/>
      <c r="N218" s="150"/>
      <c r="O218" s="128"/>
      <c r="P218" s="70"/>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8"/>
      <c r="DT218" s="19"/>
    </row>
    <row r="219" spans="1:124">
      <c r="A219" s="67"/>
      <c r="B219" s="53"/>
      <c r="C219" s="110"/>
      <c r="D219" s="229"/>
      <c r="E219" s="20"/>
      <c r="F219" s="20"/>
      <c r="G219" s="20"/>
      <c r="H219" s="55"/>
      <c r="I219" s="55"/>
      <c r="J219" s="33"/>
      <c r="K219" s="33"/>
      <c r="L219" s="20"/>
      <c r="M219" s="181"/>
      <c r="N219" s="150"/>
      <c r="O219" s="128"/>
      <c r="P219" s="70"/>
      <c r="CT219" s="16"/>
      <c r="CU219" s="16"/>
      <c r="CV219" s="16"/>
      <c r="CW219" s="16"/>
      <c r="CX219" s="16"/>
      <c r="CY219" s="16"/>
      <c r="CZ219" s="16"/>
      <c r="DA219" s="16"/>
      <c r="DB219" s="16"/>
      <c r="DC219" s="16"/>
      <c r="DD219" s="16"/>
      <c r="DE219" s="16"/>
      <c r="DF219" s="16"/>
      <c r="DG219" s="16"/>
      <c r="DH219" s="16"/>
      <c r="DI219" s="16"/>
      <c r="DJ219" s="16"/>
      <c r="DK219" s="16"/>
      <c r="DL219" s="16"/>
      <c r="DM219" s="16"/>
      <c r="DN219" s="16"/>
      <c r="DO219" s="16"/>
      <c r="DP219" s="16"/>
      <c r="DQ219" s="16"/>
      <c r="DR219" s="16"/>
      <c r="DS219" s="18"/>
      <c r="DT219" s="19"/>
    </row>
    <row r="220" spans="1:124">
      <c r="A220" s="219"/>
      <c r="B220" s="53"/>
      <c r="C220" s="229"/>
      <c r="D220" s="110"/>
      <c r="E220" s="55"/>
      <c r="F220" s="55"/>
      <c r="G220" s="55"/>
      <c r="H220" s="55"/>
      <c r="I220" s="55"/>
      <c r="J220" s="33"/>
      <c r="K220" s="33"/>
      <c r="L220" s="20"/>
      <c r="M220" s="20"/>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8"/>
      <c r="DT220" s="19"/>
    </row>
    <row r="221" spans="1:124">
      <c r="A221" s="219"/>
      <c r="B221" s="53"/>
      <c r="C221" s="110"/>
      <c r="D221" s="110"/>
      <c r="E221" s="20"/>
      <c r="F221" s="20"/>
      <c r="G221" s="55"/>
      <c r="H221" s="239"/>
      <c r="I221" s="55"/>
      <c r="J221" s="33"/>
      <c r="K221" s="33"/>
      <c r="L221" s="20"/>
      <c r="M221" s="20"/>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8"/>
      <c r="DT221" s="19"/>
    </row>
    <row r="222" spans="1:124">
      <c r="A222" s="67"/>
      <c r="B222" s="53"/>
      <c r="C222" s="229"/>
      <c r="D222" s="229"/>
      <c r="E222" s="55"/>
      <c r="F222" s="55"/>
      <c r="G222" s="55"/>
      <c r="H222" s="55"/>
      <c r="I222" s="55"/>
      <c r="J222" s="33"/>
      <c r="K222" s="33"/>
      <c r="L222" s="20"/>
      <c r="M222" s="20"/>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8"/>
      <c r="DT222" s="19"/>
    </row>
    <row r="223" spans="1:124">
      <c r="A223" s="67"/>
      <c r="B223" s="53"/>
      <c r="C223" s="229"/>
      <c r="D223" s="38"/>
      <c r="E223" s="55"/>
      <c r="F223" s="55"/>
      <c r="G223" s="55"/>
      <c r="H223" s="55"/>
      <c r="I223" s="55"/>
      <c r="J223" s="33"/>
      <c r="K223" s="33"/>
      <c r="L223" s="20"/>
      <c r="M223" s="20"/>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8"/>
      <c r="DT223" s="19"/>
    </row>
    <row r="224" spans="1:124">
      <c r="A224" s="234"/>
      <c r="B224" s="177"/>
      <c r="C224" s="110"/>
      <c r="D224" s="110"/>
      <c r="E224" s="55"/>
      <c r="F224" s="55"/>
      <c r="G224" s="55"/>
      <c r="H224" s="239"/>
      <c r="I224" s="55"/>
      <c r="J224" s="33"/>
      <c r="K224" s="33"/>
      <c r="L224" s="20"/>
      <c r="M224" s="20"/>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8"/>
      <c r="DT224" s="19"/>
    </row>
    <row r="225" spans="1:124">
      <c r="A225" s="229"/>
      <c r="B225" s="240"/>
      <c r="C225" s="177"/>
      <c r="D225" s="177"/>
      <c r="E225" s="177"/>
      <c r="F225" s="55"/>
      <c r="G225" s="55"/>
      <c r="H225" s="55"/>
      <c r="I225" s="55"/>
      <c r="J225" s="33"/>
      <c r="K225" s="33"/>
      <c r="L225" s="20"/>
      <c r="M225" s="20"/>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8"/>
      <c r="DT225" s="19"/>
    </row>
    <row r="226" spans="1:124">
      <c r="A226" s="234"/>
      <c r="B226" s="240"/>
      <c r="C226" s="229"/>
      <c r="D226" s="229"/>
      <c r="E226" s="177"/>
      <c r="F226" s="55"/>
      <c r="G226" s="55"/>
      <c r="H226" s="55"/>
      <c r="I226" s="55"/>
      <c r="J226" s="33"/>
      <c r="K226" s="33"/>
      <c r="L226" s="20"/>
      <c r="M226" s="20"/>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8"/>
      <c r="DT226" s="19"/>
    </row>
    <row r="227" spans="1:124">
      <c r="A227" s="234"/>
      <c r="B227" s="240"/>
      <c r="C227" s="229"/>
      <c r="D227" s="229"/>
      <c r="E227" s="177"/>
      <c r="F227" s="55"/>
      <c r="G227" s="55"/>
      <c r="H227" s="55"/>
      <c r="I227" s="55"/>
      <c r="J227" s="33"/>
      <c r="K227" s="33"/>
      <c r="L227" s="20"/>
      <c r="M227" s="20"/>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8"/>
      <c r="DT227" s="19"/>
    </row>
    <row r="228" spans="1:124">
      <c r="A228" s="234"/>
      <c r="B228" s="240"/>
      <c r="C228" s="229"/>
      <c r="D228" s="229"/>
      <c r="E228" s="177"/>
      <c r="F228" s="177"/>
      <c r="G228" s="55"/>
      <c r="H228" s="55"/>
      <c r="I228" s="177"/>
      <c r="J228" s="33"/>
      <c r="K228" s="33"/>
      <c r="L228" s="20"/>
      <c r="M228" s="20"/>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8"/>
      <c r="DT228" s="19"/>
    </row>
    <row r="229" spans="1:124">
      <c r="A229" s="219"/>
      <c r="B229" s="240"/>
      <c r="C229" s="229"/>
      <c r="D229" s="229"/>
      <c r="E229" s="177"/>
      <c r="F229" s="177"/>
      <c r="G229" s="55"/>
      <c r="H229" s="38"/>
      <c r="I229" s="177"/>
      <c r="J229" s="33"/>
      <c r="K229" s="33"/>
      <c r="L229" s="20"/>
      <c r="M229" s="20"/>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8"/>
      <c r="DT229" s="19"/>
    </row>
    <row r="230" spans="1:124">
      <c r="A230" s="241"/>
      <c r="B230" s="240"/>
      <c r="C230" s="177"/>
      <c r="D230" s="232"/>
      <c r="E230" s="177"/>
      <c r="F230" s="177"/>
      <c r="G230" s="55"/>
      <c r="H230" s="38"/>
      <c r="I230" s="55"/>
      <c r="J230" s="33"/>
      <c r="K230" s="33"/>
      <c r="L230" s="20"/>
      <c r="M230" s="20"/>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8"/>
      <c r="DT230" s="19"/>
    </row>
    <row r="231" spans="1:124">
      <c r="A231" s="219"/>
      <c r="B231" s="240"/>
      <c r="C231" s="229"/>
      <c r="D231" s="229"/>
      <c r="E231" s="177"/>
      <c r="F231" s="177"/>
      <c r="G231" s="55"/>
      <c r="H231" s="55"/>
      <c r="I231" s="55"/>
      <c r="J231" s="33"/>
      <c r="K231" s="33"/>
      <c r="L231" s="20"/>
      <c r="M231" s="20"/>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8"/>
      <c r="DT231" s="19"/>
    </row>
    <row r="232" spans="1:124">
      <c r="A232" s="241"/>
      <c r="B232" s="44"/>
      <c r="C232" s="177"/>
      <c r="D232" s="232"/>
      <c r="E232" s="177"/>
      <c r="F232" s="177"/>
      <c r="G232" s="55"/>
      <c r="H232" s="177"/>
      <c r="I232" s="177"/>
      <c r="J232" s="33"/>
      <c r="K232" s="33"/>
      <c r="L232" s="20"/>
      <c r="M232" s="20"/>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8"/>
      <c r="DT232" s="19"/>
    </row>
    <row r="233" spans="1:124">
      <c r="A233" s="241"/>
      <c r="B233" s="240"/>
      <c r="C233" s="177"/>
      <c r="D233" s="232"/>
      <c r="E233" s="177"/>
      <c r="F233" s="177"/>
      <c r="G233" s="177"/>
      <c r="H233" s="177"/>
      <c r="I233" s="177"/>
      <c r="J233" s="33"/>
      <c r="K233" s="33"/>
      <c r="L233" s="20"/>
      <c r="M233" s="20"/>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8"/>
      <c r="DT233" s="19"/>
    </row>
    <row r="234" spans="1:124">
      <c r="A234" s="241"/>
      <c r="B234" s="44"/>
      <c r="C234" s="177"/>
      <c r="D234" s="110"/>
      <c r="E234" s="177"/>
      <c r="F234" s="177"/>
      <c r="G234" s="177"/>
      <c r="H234" s="177"/>
      <c r="I234" s="177"/>
      <c r="J234" s="33"/>
      <c r="K234" s="33"/>
      <c r="L234" s="20"/>
      <c r="M234" s="20"/>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8"/>
      <c r="DT234" s="19"/>
    </row>
    <row r="235" spans="1:124">
      <c r="A235" s="219"/>
      <c r="B235" s="44"/>
      <c r="C235" s="229"/>
      <c r="D235" s="229"/>
      <c r="E235" s="177"/>
      <c r="F235" s="177"/>
      <c r="G235" s="177"/>
      <c r="H235" s="239"/>
      <c r="I235" s="177"/>
      <c r="J235" s="33"/>
      <c r="K235" s="33"/>
      <c r="L235" s="20"/>
      <c r="M235" s="20"/>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8"/>
      <c r="DT235" s="19"/>
    </row>
    <row r="236" spans="1:124">
      <c r="A236" s="219"/>
      <c r="B236" s="240"/>
      <c r="C236" s="229"/>
      <c r="D236" s="177"/>
      <c r="E236" s="177"/>
      <c r="F236" s="177"/>
      <c r="G236" s="177"/>
      <c r="H236" s="177"/>
      <c r="I236" s="177"/>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8"/>
      <c r="DT236" s="19"/>
    </row>
    <row r="237" spans="1:124">
      <c r="A237" s="241"/>
      <c r="B237" s="53"/>
      <c r="C237" s="177"/>
      <c r="D237" s="175"/>
      <c r="E237" s="177"/>
      <c r="F237" s="177"/>
      <c r="G237" s="177"/>
      <c r="H237" s="38"/>
      <c r="I237" s="177"/>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8"/>
      <c r="DT237" s="19"/>
    </row>
    <row r="238" spans="1:124">
      <c r="A238" s="219"/>
      <c r="B238" s="177"/>
      <c r="C238" s="229"/>
      <c r="D238" s="177"/>
      <c r="E238" s="177"/>
      <c r="F238" s="177"/>
      <c r="G238" s="177"/>
      <c r="H238" s="38"/>
      <c r="I238" s="177"/>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8"/>
      <c r="DT238" s="19"/>
    </row>
    <row r="239" spans="1:124">
      <c r="A239" s="177"/>
      <c r="B239" s="38"/>
      <c r="C239" s="177"/>
      <c r="D239" s="177"/>
      <c r="E239" s="177"/>
      <c r="F239" s="177"/>
      <c r="G239" s="177"/>
      <c r="H239" s="239"/>
      <c r="I239" s="177"/>
      <c r="CT239" s="16"/>
      <c r="CU239" s="16"/>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8"/>
      <c r="DT239" s="19"/>
    </row>
    <row r="240" spans="1:124">
      <c r="A240" s="110"/>
      <c r="B240" s="53"/>
      <c r="C240" s="38"/>
      <c r="D240" s="55"/>
      <c r="E240" s="55"/>
      <c r="F240" s="55"/>
      <c r="G240" s="55"/>
      <c r="H240" s="38"/>
      <c r="I240" s="177"/>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8"/>
      <c r="DT240" s="19"/>
    </row>
    <row r="241" spans="1:124">
      <c r="A241" s="234"/>
      <c r="B241" s="53"/>
      <c r="C241" s="110"/>
      <c r="D241" s="110"/>
      <c r="E241" s="55"/>
      <c r="F241" s="55"/>
      <c r="G241" s="55"/>
      <c r="H241" s="38"/>
      <c r="I241" s="55"/>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8"/>
      <c r="DT241" s="19"/>
    </row>
    <row r="242" spans="1:124">
      <c r="A242" s="234"/>
      <c r="B242" s="53"/>
      <c r="C242" s="110"/>
      <c r="D242" s="110"/>
      <c r="E242" s="55"/>
      <c r="F242" s="55"/>
      <c r="G242" s="55"/>
      <c r="H242" s="55"/>
      <c r="I242" s="55"/>
      <c r="CT242" s="16"/>
      <c r="CU242" s="16"/>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8"/>
      <c r="DT242" s="19"/>
    </row>
    <row r="243" spans="1:124">
      <c r="A243" s="234"/>
      <c r="B243" s="53"/>
      <c r="C243" s="110"/>
      <c r="D243" s="110"/>
      <c r="E243" s="55"/>
      <c r="F243" s="55"/>
      <c r="G243" s="55"/>
      <c r="H243" s="55"/>
      <c r="I243" s="55"/>
      <c r="CT243" s="16"/>
      <c r="CU243" s="16"/>
      <c r="CV243" s="16"/>
      <c r="CW243" s="16"/>
      <c r="CX243" s="16"/>
      <c r="CY243" s="16"/>
      <c r="CZ243" s="16"/>
      <c r="DA243" s="16"/>
      <c r="DB243" s="16"/>
      <c r="DC243" s="16"/>
      <c r="DD243" s="16"/>
      <c r="DE243" s="16"/>
      <c r="DF243" s="16"/>
      <c r="DG243" s="16"/>
      <c r="DH243" s="16"/>
      <c r="DI243" s="16"/>
      <c r="DJ243" s="16"/>
      <c r="DK243" s="16"/>
      <c r="DL243" s="16"/>
      <c r="DM243" s="16"/>
      <c r="DN243" s="16"/>
      <c r="DO243" s="16"/>
      <c r="DP243" s="16"/>
      <c r="DQ243" s="16"/>
      <c r="DR243" s="16"/>
      <c r="DS243" s="18"/>
      <c r="DT243" s="19"/>
    </row>
    <row r="244" spans="1:124">
      <c r="A244" s="234"/>
      <c r="B244" s="38"/>
      <c r="C244" s="110"/>
      <c r="D244" s="110"/>
      <c r="E244" s="38"/>
      <c r="F244" s="38"/>
      <c r="G244" s="55"/>
      <c r="H244" s="55"/>
      <c r="I244" s="55"/>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8"/>
      <c r="DT244" s="19"/>
    </row>
    <row r="245" spans="1:124">
      <c r="A245" s="110"/>
      <c r="B245" s="242"/>
      <c r="C245" s="38"/>
      <c r="D245" s="38"/>
      <c r="E245" s="38"/>
      <c r="F245" s="38"/>
      <c r="G245" s="55"/>
      <c r="H245" s="239"/>
      <c r="I245" s="55"/>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8"/>
      <c r="DT245" s="19"/>
    </row>
    <row r="246" spans="1:124">
      <c r="A246" s="234"/>
      <c r="B246" s="176"/>
      <c r="C246" s="110"/>
      <c r="D246" s="110"/>
      <c r="E246" s="38"/>
      <c r="F246" s="38"/>
      <c r="G246" s="38"/>
      <c r="H246" s="38"/>
      <c r="I246" s="55"/>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8"/>
      <c r="DT246" s="19"/>
    </row>
    <row r="247" spans="1:124">
      <c r="A247" s="234"/>
      <c r="B247" s="176"/>
      <c r="C247" s="110"/>
      <c r="D247" s="110"/>
      <c r="E247" s="38"/>
      <c r="F247" s="38"/>
      <c r="G247" s="38"/>
      <c r="H247" s="55"/>
      <c r="I247" s="55"/>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8"/>
      <c r="DT247" s="19"/>
    </row>
    <row r="248" spans="1:124">
      <c r="A248" s="234"/>
      <c r="B248" s="20"/>
      <c r="C248" s="229"/>
      <c r="D248" s="110"/>
      <c r="E248" s="38"/>
      <c r="F248" s="38"/>
      <c r="G248" s="55"/>
      <c r="H248" s="239"/>
      <c r="I248" s="55"/>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8"/>
      <c r="DT248" s="19"/>
    </row>
    <row r="249" spans="1:124">
      <c r="A249" s="38"/>
      <c r="B249" s="176"/>
      <c r="C249" s="177"/>
      <c r="D249" s="229"/>
      <c r="E249" s="177"/>
      <c r="F249" s="177"/>
      <c r="G249" s="177"/>
      <c r="H249" s="55"/>
      <c r="I249" s="55"/>
      <c r="CT249" s="16"/>
      <c r="CU249" s="16"/>
      <c r="CV249" s="16"/>
      <c r="CW249" s="16"/>
      <c r="CX249" s="16"/>
      <c r="CY249" s="16"/>
      <c r="CZ249" s="16"/>
      <c r="DA249" s="16"/>
      <c r="DB249" s="16"/>
      <c r="DC249" s="16"/>
      <c r="DD249" s="16"/>
      <c r="DE249" s="16"/>
      <c r="DF249" s="16"/>
      <c r="DG249" s="16"/>
      <c r="DH249" s="16"/>
      <c r="DI249" s="16"/>
      <c r="DJ249" s="16"/>
      <c r="DK249" s="16"/>
      <c r="DL249" s="16"/>
      <c r="DM249" s="16"/>
      <c r="DN249" s="16"/>
      <c r="DO249" s="16"/>
      <c r="DP249" s="16"/>
      <c r="DQ249" s="16"/>
      <c r="DR249" s="16"/>
      <c r="DS249" s="18"/>
      <c r="DT249" s="19"/>
    </row>
    <row r="250" spans="1:124">
      <c r="A250" s="243"/>
      <c r="B250" s="242"/>
      <c r="C250" s="110"/>
      <c r="D250" s="110"/>
      <c r="E250" s="177"/>
      <c r="F250" s="177"/>
      <c r="G250" s="177"/>
      <c r="H250" s="55"/>
      <c r="I250" s="55"/>
      <c r="CT250" s="16"/>
      <c r="CU250" s="16"/>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8"/>
      <c r="DT250" s="19"/>
    </row>
    <row r="251" spans="1:124">
      <c r="A251" s="234"/>
      <c r="B251" s="176"/>
      <c r="C251" s="229"/>
      <c r="D251" s="110"/>
      <c r="E251" s="38"/>
      <c r="F251" s="38"/>
      <c r="G251" s="38"/>
      <c r="H251" s="55"/>
      <c r="I251" s="55"/>
      <c r="CT251" s="16"/>
      <c r="CU251" s="16"/>
      <c r="CV251" s="16"/>
      <c r="CW251" s="16"/>
      <c r="CX251" s="16"/>
      <c r="CY251" s="16"/>
      <c r="CZ251" s="16"/>
      <c r="DA251" s="16"/>
      <c r="DB251" s="16"/>
      <c r="DC251" s="16"/>
      <c r="DD251" s="16"/>
      <c r="DE251" s="16"/>
      <c r="DF251" s="16"/>
      <c r="DG251" s="16"/>
      <c r="DH251" s="16"/>
      <c r="DI251" s="16"/>
      <c r="DJ251" s="16"/>
      <c r="DK251" s="16"/>
      <c r="DL251" s="16"/>
      <c r="DM251" s="16"/>
      <c r="DN251" s="16"/>
      <c r="DO251" s="16"/>
      <c r="DP251" s="16"/>
      <c r="DQ251" s="16"/>
      <c r="DR251" s="16"/>
      <c r="DS251" s="18"/>
      <c r="DT251" s="19"/>
    </row>
    <row r="252" spans="1:124">
      <c r="A252" s="234"/>
      <c r="B252" s="244"/>
      <c r="C252" s="229"/>
      <c r="D252" s="110"/>
      <c r="E252" s="38"/>
      <c r="F252" s="38"/>
      <c r="G252" s="38"/>
      <c r="H252" s="55"/>
      <c r="I252" s="55"/>
      <c r="CT252" s="16"/>
      <c r="CU252" s="16"/>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8"/>
      <c r="DT252" s="19"/>
    </row>
    <row r="253" spans="1:124">
      <c r="A253" s="234"/>
      <c r="B253" s="176"/>
      <c r="C253" s="229"/>
      <c r="D253" s="110"/>
      <c r="E253" s="38"/>
      <c r="F253" s="38"/>
      <c r="G253" s="38"/>
      <c r="H253" s="55"/>
      <c r="I253" s="55"/>
      <c r="CT253" s="16"/>
      <c r="CU253" s="16"/>
      <c r="CV253" s="16"/>
      <c r="CW253" s="16"/>
      <c r="CX253" s="16"/>
      <c r="CY253" s="16"/>
      <c r="CZ253" s="16"/>
      <c r="DA253" s="16"/>
      <c r="DB253" s="16"/>
      <c r="DC253" s="16"/>
      <c r="DD253" s="16"/>
      <c r="DE253" s="16"/>
      <c r="DF253" s="16"/>
      <c r="DG253" s="16"/>
      <c r="DH253" s="16"/>
      <c r="DI253" s="16"/>
      <c r="DJ253" s="16"/>
      <c r="DK253" s="16"/>
      <c r="DL253" s="16"/>
      <c r="DM253" s="16"/>
      <c r="DN253" s="16"/>
      <c r="DO253" s="16"/>
      <c r="DP253" s="16"/>
      <c r="DQ253" s="16"/>
      <c r="DR253" s="16"/>
      <c r="DS253" s="18"/>
      <c r="DT253" s="19"/>
    </row>
    <row r="254" spans="1:124">
      <c r="A254" s="234"/>
      <c r="B254" s="176"/>
      <c r="C254" s="229"/>
      <c r="D254" s="110"/>
      <c r="E254" s="38"/>
      <c r="F254" s="38"/>
      <c r="G254" s="38"/>
      <c r="H254" s="55"/>
      <c r="I254" s="55"/>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8"/>
      <c r="DT254" s="19"/>
    </row>
    <row r="255" spans="1:124">
      <c r="A255" s="234"/>
      <c r="B255" s="177"/>
      <c r="C255" s="229"/>
      <c r="D255" s="110"/>
      <c r="E255" s="38"/>
      <c r="F255" s="38"/>
      <c r="G255" s="55"/>
      <c r="H255" s="239"/>
      <c r="I255" s="38"/>
      <c r="CT255" s="16"/>
      <c r="CU255" s="16"/>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8"/>
      <c r="DT255" s="19"/>
    </row>
    <row r="256" spans="1:124">
      <c r="A256" s="177"/>
      <c r="B256" s="53"/>
      <c r="C256" s="177"/>
      <c r="D256" s="229"/>
      <c r="E256" s="177"/>
      <c r="F256" s="177"/>
      <c r="G256" s="177"/>
      <c r="H256" s="177"/>
      <c r="I256" s="38"/>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8"/>
      <c r="DT256" s="19"/>
    </row>
    <row r="257" spans="1:124">
      <c r="A257" s="219"/>
      <c r="B257" s="44"/>
      <c r="C257" s="229"/>
      <c r="D257" s="110"/>
      <c r="E257" s="177"/>
      <c r="F257" s="177"/>
      <c r="G257" s="177"/>
      <c r="H257" s="177"/>
      <c r="I257" s="55"/>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8"/>
      <c r="DT257" s="19"/>
    </row>
    <row r="258" spans="1:124">
      <c r="A258" s="219"/>
      <c r="B258" s="44"/>
      <c r="C258" s="229"/>
      <c r="D258" s="229"/>
      <c r="E258" s="177"/>
      <c r="F258" s="177"/>
      <c r="G258" s="177"/>
      <c r="H258" s="177"/>
      <c r="I258" s="177"/>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8"/>
      <c r="DT258" s="19"/>
    </row>
    <row r="259" spans="1:124">
      <c r="A259" s="241"/>
      <c r="B259" s="44"/>
      <c r="C259" s="229"/>
      <c r="D259" s="232"/>
      <c r="E259" s="55"/>
      <c r="F259" s="55"/>
      <c r="G259" s="55"/>
      <c r="H259" s="235"/>
      <c r="I259" s="38"/>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8"/>
      <c r="DT259" s="19"/>
    </row>
    <row r="260" spans="1:124">
      <c r="A260" s="241"/>
      <c r="B260" s="55"/>
      <c r="C260" s="229"/>
      <c r="D260" s="232"/>
      <c r="E260" s="55"/>
      <c r="F260" s="55"/>
      <c r="G260" s="55"/>
      <c r="H260" s="55"/>
      <c r="I260" s="55"/>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8"/>
      <c r="DT260" s="19"/>
    </row>
    <row r="261" spans="1:124">
      <c r="A261" s="55"/>
      <c r="B261" s="55"/>
      <c r="C261" s="55"/>
      <c r="D261" s="55"/>
      <c r="E261" s="55"/>
      <c r="F261" s="55"/>
      <c r="G261" s="235"/>
      <c r="H261" s="55"/>
      <c r="I261" s="55"/>
      <c r="CT261" s="16"/>
      <c r="CU261" s="16"/>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8"/>
      <c r="DT261" s="19"/>
    </row>
    <row r="262" spans="1:124">
      <c r="A262" s="55"/>
      <c r="B262" s="55"/>
      <c r="C262" s="55"/>
      <c r="D262" s="55"/>
      <c r="E262" s="38"/>
      <c r="F262" s="235"/>
      <c r="G262" s="55"/>
      <c r="H262" s="55"/>
      <c r="I262" s="55"/>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8"/>
      <c r="DT262" s="19"/>
    </row>
    <row r="263" spans="1:124">
      <c r="A263" s="55"/>
      <c r="B263" s="55"/>
      <c r="C263" s="55"/>
      <c r="D263" s="55"/>
      <c r="E263" s="38"/>
      <c r="F263" s="38"/>
      <c r="G263" s="55"/>
      <c r="H263" s="55"/>
      <c r="I263" s="55"/>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8"/>
      <c r="DT263" s="19"/>
    </row>
    <row r="264" spans="1:124">
      <c r="A264" s="55"/>
      <c r="B264" s="55"/>
      <c r="C264" s="55"/>
      <c r="D264" s="55"/>
      <c r="E264" s="55"/>
      <c r="F264" s="55"/>
      <c r="G264" s="55"/>
      <c r="H264" s="55"/>
      <c r="I264" s="23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8"/>
      <c r="DT264" s="19"/>
    </row>
    <row r="265" spans="1:124">
      <c r="A265" s="55"/>
      <c r="B265" s="55"/>
      <c r="C265" s="55"/>
      <c r="D265" s="55"/>
      <c r="E265" s="55"/>
      <c r="F265" s="55"/>
      <c r="G265" s="55"/>
      <c r="H265" s="195"/>
      <c r="I265" s="197"/>
      <c r="CT265" s="16"/>
      <c r="CU265" s="16"/>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8"/>
      <c r="DT265" s="19"/>
    </row>
    <row r="266" spans="1:124">
      <c r="A266" s="237"/>
      <c r="B266" s="20"/>
      <c r="C266" s="55"/>
      <c r="D266" s="55"/>
      <c r="E266" s="38"/>
      <c r="F266" s="38"/>
      <c r="G266" s="38"/>
      <c r="H266" s="195"/>
      <c r="I266" s="198"/>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8"/>
      <c r="DT266" s="19"/>
    </row>
    <row r="267" spans="1:124">
      <c r="A267" s="38"/>
      <c r="B267" s="242"/>
      <c r="C267" s="38"/>
      <c r="D267" s="110"/>
      <c r="E267" s="55"/>
      <c r="F267" s="20"/>
      <c r="G267" s="55"/>
      <c r="H267" s="238"/>
      <c r="I267" s="25"/>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8"/>
      <c r="DT267" s="19"/>
    </row>
    <row r="268" spans="1:124">
      <c r="A268" s="234"/>
      <c r="B268" s="176"/>
      <c r="C268" s="229"/>
      <c r="D268" s="110"/>
      <c r="E268" s="55"/>
      <c r="F268" s="20"/>
      <c r="G268" s="38"/>
      <c r="H268" s="195"/>
      <c r="I268" s="25"/>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8"/>
      <c r="DT268" s="19"/>
    </row>
    <row r="269" spans="1:124">
      <c r="A269" s="234"/>
      <c r="B269" s="176"/>
      <c r="C269" s="229"/>
      <c r="D269" s="110"/>
      <c r="E269" s="55"/>
      <c r="F269" s="20"/>
      <c r="G269" s="55"/>
      <c r="H269" s="55"/>
      <c r="I269" s="55"/>
      <c r="CT269" s="16"/>
      <c r="CU269" s="16"/>
      <c r="CV269" s="16"/>
      <c r="CW269" s="16"/>
      <c r="CX269" s="16"/>
      <c r="CY269" s="16"/>
      <c r="CZ269" s="16"/>
      <c r="DA269" s="16"/>
      <c r="DB269" s="16"/>
      <c r="DC269" s="16"/>
      <c r="DD269" s="16"/>
      <c r="DE269" s="16"/>
      <c r="DF269" s="16"/>
      <c r="DG269" s="16"/>
      <c r="DH269" s="16"/>
      <c r="DI269" s="16"/>
      <c r="DJ269" s="16"/>
      <c r="DK269" s="16"/>
      <c r="DL269" s="16"/>
      <c r="DM269" s="16"/>
      <c r="DN269" s="16"/>
      <c r="DO269" s="16"/>
      <c r="DP269" s="16"/>
      <c r="DQ269" s="16"/>
      <c r="DR269" s="16"/>
      <c r="DS269" s="18"/>
      <c r="DT269" s="19"/>
    </row>
    <row r="270" spans="1:124">
      <c r="A270" s="234"/>
      <c r="B270" s="55"/>
      <c r="C270" s="229"/>
      <c r="D270" s="110"/>
      <c r="E270" s="55"/>
      <c r="F270" s="55"/>
      <c r="G270" s="55"/>
      <c r="H270" s="239"/>
      <c r="I270" s="38"/>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8"/>
      <c r="DT270" s="19"/>
    </row>
    <row r="271" spans="1:124">
      <c r="A271" s="55"/>
      <c r="B271" s="177"/>
      <c r="C271" s="55"/>
      <c r="D271" s="55"/>
      <c r="E271" s="55"/>
      <c r="F271" s="55"/>
      <c r="G271" s="55"/>
      <c r="H271" s="55"/>
      <c r="I271" s="55"/>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8"/>
      <c r="DT271" s="19"/>
    </row>
    <row r="272" spans="1:124">
      <c r="A272" s="38"/>
      <c r="B272" s="44"/>
      <c r="C272" s="177"/>
      <c r="D272" s="229"/>
      <c r="E272" s="55"/>
      <c r="F272" s="55"/>
      <c r="G272" s="55"/>
      <c r="H272" s="55"/>
      <c r="I272" s="55"/>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8"/>
      <c r="DT272" s="19"/>
    </row>
    <row r="273" spans="1:124">
      <c r="A273" s="67"/>
      <c r="B273" s="53"/>
      <c r="C273" s="229"/>
      <c r="D273" s="229"/>
      <c r="E273" s="55"/>
      <c r="F273" s="55"/>
      <c r="G273" s="55"/>
      <c r="H273" s="55"/>
      <c r="I273" s="55"/>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8"/>
      <c r="DT273" s="19"/>
    </row>
    <row r="274" spans="1:124">
      <c r="A274" s="219"/>
      <c r="B274" s="44"/>
      <c r="C274" s="229"/>
      <c r="D274" s="229"/>
      <c r="E274" s="55"/>
      <c r="F274" s="55"/>
      <c r="G274" s="55"/>
      <c r="H274" s="55"/>
      <c r="I274" s="55"/>
      <c r="CT274" s="16"/>
      <c r="CU274" s="16"/>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8"/>
      <c r="DT274" s="19"/>
    </row>
    <row r="275" spans="1:124">
      <c r="A275" s="219"/>
      <c r="B275" s="44"/>
      <c r="C275" s="229"/>
      <c r="D275" s="229"/>
      <c r="E275" s="55"/>
      <c r="F275" s="55"/>
      <c r="G275" s="55"/>
      <c r="H275" s="55"/>
      <c r="I275" s="38"/>
      <c r="CT275" s="16"/>
      <c r="CU275" s="16"/>
      <c r="CV275" s="16"/>
      <c r="CW275" s="16"/>
      <c r="CX275" s="16"/>
      <c r="CY275" s="16"/>
      <c r="CZ275" s="16"/>
      <c r="DA275" s="16"/>
      <c r="DB275" s="16"/>
      <c r="DC275" s="16"/>
      <c r="DD275" s="16"/>
      <c r="DE275" s="16"/>
      <c r="DF275" s="16"/>
      <c r="DG275" s="16"/>
      <c r="DH275" s="16"/>
      <c r="DI275" s="16"/>
      <c r="DJ275" s="16"/>
      <c r="DK275" s="16"/>
      <c r="DL275" s="16"/>
      <c r="DM275" s="16"/>
      <c r="DN275" s="16"/>
      <c r="DO275" s="16"/>
      <c r="DP275" s="16"/>
      <c r="DQ275" s="16"/>
      <c r="DR275" s="16"/>
      <c r="DS275" s="18"/>
      <c r="DT275" s="19"/>
    </row>
    <row r="276" spans="1:124">
      <c r="A276" s="241"/>
      <c r="B276" s="44"/>
      <c r="C276" s="229"/>
      <c r="D276" s="232"/>
      <c r="E276" s="177"/>
      <c r="F276" s="55"/>
      <c r="G276" s="55"/>
      <c r="H276" s="235"/>
      <c r="I276" s="38"/>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8"/>
      <c r="DT276" s="19"/>
    </row>
    <row r="277" spans="1:124">
      <c r="A277" s="241"/>
      <c r="B277" s="55"/>
      <c r="C277" s="229"/>
      <c r="D277" s="232"/>
      <c r="E277" s="55"/>
      <c r="F277" s="55"/>
      <c r="G277" s="55"/>
      <c r="H277" s="55"/>
      <c r="I277" s="55"/>
      <c r="CT277" s="16"/>
      <c r="CU277" s="16"/>
      <c r="CV277" s="16"/>
      <c r="CW277" s="16"/>
      <c r="CX277" s="16"/>
      <c r="CY277" s="16"/>
      <c r="CZ277" s="16"/>
      <c r="DA277" s="16"/>
      <c r="DB277" s="16"/>
      <c r="DC277" s="16"/>
      <c r="DD277" s="16"/>
      <c r="DE277" s="16"/>
      <c r="DF277" s="16"/>
      <c r="DG277" s="16"/>
      <c r="DH277" s="16"/>
      <c r="DI277" s="16"/>
      <c r="DJ277" s="16"/>
      <c r="DK277" s="16"/>
      <c r="DL277" s="16"/>
      <c r="DM277" s="16"/>
      <c r="DN277" s="16"/>
      <c r="DO277" s="16"/>
      <c r="DP277" s="16"/>
      <c r="DQ277" s="16"/>
      <c r="DR277" s="16"/>
      <c r="DS277" s="18"/>
      <c r="DT277" s="19"/>
    </row>
    <row r="278" spans="1:124">
      <c r="A278" s="55"/>
      <c r="B278" s="55"/>
      <c r="C278" s="55"/>
      <c r="D278" s="55"/>
      <c r="E278" s="55"/>
      <c r="F278" s="55"/>
      <c r="G278" s="235"/>
      <c r="H278" s="55"/>
      <c r="I278" s="55"/>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8"/>
      <c r="DT278" s="19"/>
    </row>
    <row r="279" spans="1:124">
      <c r="A279" s="38"/>
      <c r="B279" s="53"/>
      <c r="C279" s="55"/>
      <c r="D279" s="55"/>
      <c r="E279" s="55"/>
      <c r="F279" s="235"/>
      <c r="G279" s="55"/>
      <c r="H279" s="55"/>
      <c r="I279" s="55"/>
      <c r="CT279" s="16"/>
      <c r="CU279" s="16"/>
      <c r="CV279" s="16"/>
      <c r="CW279" s="16"/>
      <c r="CX279" s="16"/>
      <c r="CY279" s="16"/>
      <c r="CZ279" s="16"/>
      <c r="DA279" s="16"/>
      <c r="DB279" s="16"/>
      <c r="DC279" s="16"/>
      <c r="DD279" s="16"/>
      <c r="DE279" s="16"/>
      <c r="DF279" s="16"/>
      <c r="DG279" s="16"/>
      <c r="DH279" s="16"/>
      <c r="DI279" s="16"/>
      <c r="DJ279" s="16"/>
      <c r="DK279" s="16"/>
      <c r="DL279" s="16"/>
      <c r="DM279" s="16"/>
      <c r="DN279" s="16"/>
      <c r="DO279" s="16"/>
      <c r="DP279" s="16"/>
      <c r="DQ279" s="16"/>
      <c r="DR279" s="16"/>
      <c r="DS279" s="18"/>
      <c r="DT279" s="19"/>
    </row>
    <row r="280" spans="1:124">
      <c r="A280" s="234"/>
      <c r="B280" s="53"/>
      <c r="C280" s="110"/>
      <c r="D280" s="110"/>
      <c r="E280" s="20"/>
      <c r="F280" s="55"/>
      <c r="G280" s="55"/>
      <c r="H280" s="55"/>
      <c r="I280" s="38"/>
      <c r="CT280" s="16"/>
      <c r="CU280" s="16"/>
      <c r="CV280" s="16"/>
      <c r="CW280" s="16"/>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8"/>
      <c r="DT280" s="19"/>
    </row>
    <row r="281" spans="1:124">
      <c r="A281" s="234"/>
      <c r="B281" s="55"/>
      <c r="C281" s="110"/>
      <c r="D281" s="110"/>
      <c r="E281" s="20"/>
      <c r="F281" s="20"/>
      <c r="G281" s="55"/>
      <c r="H281" s="239"/>
      <c r="I281" s="55"/>
      <c r="CT281" s="16"/>
      <c r="CU281" s="16"/>
      <c r="CV281" s="16"/>
      <c r="CW281" s="16"/>
      <c r="CX281" s="16"/>
      <c r="CY281" s="16"/>
      <c r="CZ281" s="16"/>
      <c r="DA281" s="16"/>
      <c r="DB281" s="16"/>
      <c r="DC281" s="16"/>
      <c r="DD281" s="16"/>
      <c r="DE281" s="16"/>
      <c r="DF281" s="16"/>
      <c r="DG281" s="16"/>
      <c r="DH281" s="16"/>
      <c r="DI281" s="16"/>
      <c r="DJ281" s="16"/>
      <c r="DK281" s="16"/>
      <c r="DL281" s="16"/>
      <c r="DM281" s="16"/>
      <c r="DN281" s="16"/>
      <c r="DO281" s="16"/>
      <c r="DP281" s="16"/>
      <c r="DQ281" s="16"/>
      <c r="DR281" s="16"/>
      <c r="DS281" s="18"/>
      <c r="DT281" s="19"/>
    </row>
    <row r="282" spans="1:124">
      <c r="A282" s="55"/>
      <c r="B282" s="38"/>
      <c r="C282" s="55"/>
      <c r="D282" s="55"/>
      <c r="E282" s="55"/>
      <c r="F282" s="55"/>
      <c r="G282" s="55"/>
      <c r="H282" s="55"/>
      <c r="I282" s="55"/>
      <c r="CT282" s="16"/>
      <c r="CU282" s="16"/>
      <c r="CV282" s="16"/>
      <c r="CW282" s="16"/>
      <c r="CX282" s="16"/>
      <c r="CY282" s="16"/>
      <c r="CZ282" s="16"/>
      <c r="DA282" s="16"/>
      <c r="DB282" s="16"/>
      <c r="DC282" s="16"/>
      <c r="DD282" s="16"/>
      <c r="DE282" s="16"/>
      <c r="DF282" s="16"/>
      <c r="DG282" s="16"/>
      <c r="DH282" s="16"/>
      <c r="DI282" s="16"/>
      <c r="DJ282" s="16"/>
      <c r="DK282" s="16"/>
      <c r="DL282" s="16"/>
      <c r="DM282" s="16"/>
      <c r="DN282" s="16"/>
      <c r="DO282" s="16"/>
      <c r="DP282" s="16"/>
      <c r="DQ282" s="16"/>
      <c r="DR282" s="16"/>
      <c r="DS282" s="18"/>
      <c r="DT282" s="19"/>
    </row>
    <row r="283" spans="1:124">
      <c r="A283" s="38"/>
      <c r="B283" s="240"/>
      <c r="C283" s="38"/>
      <c r="D283" s="110"/>
      <c r="E283" s="20"/>
      <c r="F283" s="20"/>
      <c r="G283" s="55"/>
      <c r="H283" s="55"/>
      <c r="I283" s="55"/>
      <c r="CT283" s="16"/>
      <c r="CU283" s="16"/>
      <c r="CV283" s="16"/>
      <c r="CW283" s="16"/>
      <c r="CX283" s="16"/>
      <c r="CY283" s="16"/>
      <c r="CZ283" s="16"/>
      <c r="DA283" s="16"/>
      <c r="DB283" s="16"/>
      <c r="DC283" s="16"/>
      <c r="DD283" s="16"/>
      <c r="DE283" s="16"/>
      <c r="DF283" s="16"/>
      <c r="DG283" s="16"/>
      <c r="DH283" s="16"/>
      <c r="DI283" s="16"/>
      <c r="DJ283" s="16"/>
      <c r="DK283" s="16"/>
      <c r="DL283" s="16"/>
      <c r="DM283" s="16"/>
      <c r="DN283" s="16"/>
      <c r="DO283" s="16"/>
      <c r="DP283" s="16"/>
      <c r="DQ283" s="16"/>
      <c r="DR283" s="16"/>
      <c r="DS283" s="245"/>
    </row>
    <row r="284" spans="1:124">
      <c r="A284" s="234"/>
      <c r="B284" s="53"/>
      <c r="C284" s="110"/>
      <c r="D284" s="110"/>
      <c r="E284" s="20"/>
      <c r="F284" s="20"/>
      <c r="G284" s="55"/>
      <c r="H284" s="55"/>
      <c r="I284" s="55"/>
      <c r="CT284" s="16"/>
      <c r="CU284" s="16"/>
      <c r="CV284" s="16"/>
      <c r="CW284" s="16"/>
      <c r="CX284" s="16"/>
      <c r="CY284" s="16"/>
      <c r="CZ284" s="16"/>
      <c r="DA284" s="16"/>
      <c r="DB284" s="16"/>
      <c r="DC284" s="16"/>
      <c r="DD284" s="16"/>
      <c r="DE284" s="16"/>
      <c r="DF284" s="16"/>
      <c r="DG284" s="16"/>
      <c r="DH284" s="16"/>
      <c r="DI284" s="16"/>
      <c r="DJ284" s="16"/>
      <c r="DK284" s="16"/>
      <c r="DL284" s="16"/>
      <c r="DM284" s="16"/>
      <c r="DN284" s="16"/>
      <c r="DO284" s="16"/>
      <c r="DP284" s="16"/>
      <c r="DQ284" s="16"/>
      <c r="DR284" s="16"/>
      <c r="DS284" s="18"/>
    </row>
    <row r="285" spans="1:124">
      <c r="A285" s="234"/>
      <c r="B285" s="53"/>
      <c r="C285" s="110"/>
      <c r="D285" s="110"/>
      <c r="E285" s="20"/>
      <c r="F285" s="20"/>
      <c r="G285" s="55"/>
      <c r="H285" s="55"/>
      <c r="I285" s="55"/>
      <c r="CT285" s="16"/>
      <c r="CU285" s="16"/>
      <c r="CV285" s="16"/>
      <c r="CW285" s="16"/>
      <c r="CX285" s="16"/>
      <c r="CY285" s="16"/>
      <c r="CZ285" s="16"/>
      <c r="DA285" s="16"/>
      <c r="DB285" s="16"/>
      <c r="DC285" s="16"/>
      <c r="DD285" s="16"/>
      <c r="DE285" s="16"/>
      <c r="DF285" s="16"/>
      <c r="DG285" s="16"/>
      <c r="DH285" s="16"/>
      <c r="DI285" s="16"/>
      <c r="DJ285" s="16"/>
      <c r="DK285" s="16"/>
      <c r="DL285" s="16"/>
      <c r="DM285" s="16"/>
      <c r="DN285" s="16"/>
      <c r="DO285" s="16"/>
      <c r="DP285" s="16"/>
      <c r="DQ285" s="16"/>
      <c r="DR285" s="16"/>
      <c r="DS285" s="18"/>
    </row>
    <row r="286" spans="1:124">
      <c r="A286" s="234"/>
      <c r="B286" s="53"/>
      <c r="C286" s="110"/>
      <c r="D286" s="110"/>
      <c r="E286" s="20"/>
      <c r="F286" s="20"/>
      <c r="G286" s="55"/>
      <c r="H286" s="55"/>
      <c r="I286" s="55"/>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8"/>
    </row>
    <row r="287" spans="1:124">
      <c r="A287" s="234"/>
      <c r="B287" s="55"/>
      <c r="C287" s="110"/>
      <c r="D287" s="110"/>
      <c r="E287" s="20"/>
      <c r="F287" s="20"/>
      <c r="G287" s="55"/>
      <c r="H287" s="239"/>
      <c r="I287" s="55"/>
      <c r="CT287" s="16"/>
      <c r="CU287" s="16"/>
      <c r="CV287" s="16"/>
      <c r="CW287" s="16"/>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8"/>
    </row>
    <row r="288" spans="1:124">
      <c r="A288" s="55"/>
      <c r="B288" s="55"/>
      <c r="C288" s="55"/>
      <c r="D288" s="55"/>
      <c r="E288" s="55"/>
      <c r="F288" s="55"/>
      <c r="G288" s="55"/>
      <c r="H288" s="55"/>
      <c r="I288" s="55"/>
      <c r="CT288" s="16"/>
      <c r="CU288" s="16"/>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8"/>
    </row>
    <row r="289" spans="1:123">
      <c r="A289" s="55"/>
      <c r="B289" s="55"/>
      <c r="C289" s="55"/>
      <c r="D289" s="55"/>
      <c r="E289" s="55"/>
      <c r="F289" s="55"/>
      <c r="G289" s="55"/>
      <c r="H289" s="55"/>
      <c r="I289" s="55"/>
      <c r="CT289" s="16"/>
      <c r="CU289" s="16"/>
      <c r="CV289" s="16"/>
      <c r="CW289" s="16"/>
      <c r="CX289" s="16"/>
      <c r="CY289" s="16"/>
      <c r="CZ289" s="16"/>
      <c r="DA289" s="16"/>
      <c r="DB289" s="16"/>
      <c r="DC289" s="16"/>
      <c r="DD289" s="16"/>
      <c r="DE289" s="16"/>
      <c r="DF289" s="16"/>
      <c r="DG289" s="16"/>
      <c r="DH289" s="16"/>
      <c r="DI289" s="16"/>
      <c r="DJ289" s="16"/>
      <c r="DK289" s="16"/>
      <c r="DL289" s="16"/>
      <c r="DM289" s="16"/>
      <c r="DN289" s="16"/>
      <c r="DO289" s="16"/>
      <c r="DP289" s="16"/>
      <c r="DQ289" s="16"/>
      <c r="DR289" s="16"/>
      <c r="DS289" s="18"/>
    </row>
    <row r="290" spans="1:123">
      <c r="A290" s="246"/>
      <c r="B290" s="55"/>
      <c r="C290" s="55"/>
      <c r="D290" s="55"/>
      <c r="E290" s="55"/>
      <c r="F290" s="55"/>
      <c r="G290" s="55"/>
      <c r="H290" s="55"/>
      <c r="I290" s="55"/>
      <c r="CT290" s="16"/>
      <c r="CU290" s="16"/>
      <c r="CV290" s="16"/>
      <c r="CW290" s="16"/>
      <c r="CX290" s="16"/>
      <c r="CY290" s="16"/>
      <c r="CZ290" s="16"/>
      <c r="DA290" s="16"/>
      <c r="DB290" s="16"/>
      <c r="DC290" s="16"/>
      <c r="DD290" s="16"/>
      <c r="DE290" s="16"/>
      <c r="DF290" s="16"/>
      <c r="DG290" s="16"/>
      <c r="DH290" s="16"/>
      <c r="DI290" s="16"/>
      <c r="DJ290" s="16"/>
      <c r="DK290" s="16"/>
      <c r="DL290" s="16"/>
      <c r="DM290" s="16"/>
      <c r="DN290" s="16"/>
      <c r="DO290" s="16"/>
      <c r="DP290" s="16"/>
      <c r="DQ290" s="16"/>
      <c r="DR290" s="16"/>
      <c r="DS290" s="18"/>
    </row>
    <row r="291" spans="1:123">
      <c r="A291" s="55"/>
      <c r="B291" s="55"/>
      <c r="C291" s="55"/>
      <c r="D291" s="55"/>
      <c r="E291" s="55"/>
      <c r="F291" s="55"/>
      <c r="G291" s="55"/>
      <c r="H291" s="55"/>
      <c r="I291" s="55"/>
      <c r="CT291" s="16"/>
      <c r="CU291" s="16"/>
      <c r="CV291" s="16"/>
      <c r="CW291" s="16"/>
      <c r="CX291" s="16"/>
      <c r="CY291" s="16"/>
      <c r="CZ291" s="16"/>
      <c r="DA291" s="16"/>
      <c r="DB291" s="16"/>
      <c r="DC291" s="16"/>
      <c r="DD291" s="16"/>
      <c r="DE291" s="16"/>
      <c r="DF291" s="16"/>
      <c r="DG291" s="16"/>
      <c r="DH291" s="16"/>
      <c r="DI291" s="16"/>
      <c r="DJ291" s="16"/>
      <c r="DK291" s="16"/>
      <c r="DL291" s="16"/>
      <c r="DM291" s="16"/>
      <c r="DN291" s="16"/>
      <c r="DO291" s="16"/>
      <c r="DP291" s="16"/>
      <c r="DQ291" s="16"/>
      <c r="DR291" s="16"/>
      <c r="DS291" s="18"/>
    </row>
    <row r="292" spans="1:123">
      <c r="A292" s="55"/>
      <c r="B292" s="55"/>
      <c r="C292" s="55"/>
      <c r="D292" s="55"/>
      <c r="E292" s="55"/>
      <c r="F292" s="55"/>
      <c r="G292" s="55"/>
      <c r="H292" s="55"/>
      <c r="I292" s="55"/>
      <c r="CT292" s="16"/>
      <c r="CU292" s="16"/>
      <c r="CV292" s="16"/>
      <c r="CW292" s="16"/>
      <c r="CX292" s="16"/>
      <c r="CY292" s="16"/>
      <c r="CZ292" s="16"/>
      <c r="DA292" s="16"/>
      <c r="DB292" s="16"/>
      <c r="DC292" s="16"/>
      <c r="DD292" s="16"/>
      <c r="DE292" s="16"/>
      <c r="DF292" s="16"/>
      <c r="DG292" s="16"/>
      <c r="DH292" s="16"/>
      <c r="DI292" s="16"/>
      <c r="DJ292" s="16"/>
      <c r="DK292" s="16"/>
      <c r="DL292" s="16"/>
      <c r="DM292" s="16"/>
      <c r="DN292" s="16"/>
      <c r="DO292" s="16"/>
      <c r="DP292" s="16"/>
      <c r="DQ292" s="16"/>
      <c r="DR292" s="16"/>
      <c r="DS292" s="18"/>
    </row>
    <row r="293" spans="1:123">
      <c r="A293" s="55"/>
      <c r="B293" s="55"/>
      <c r="C293" s="55"/>
      <c r="D293" s="55"/>
      <c r="E293" s="55"/>
      <c r="F293" s="55"/>
      <c r="G293" s="55"/>
      <c r="H293" s="55"/>
      <c r="I293" s="55"/>
      <c r="CT293" s="16"/>
      <c r="CU293" s="16"/>
      <c r="CV293" s="16"/>
      <c r="CW293" s="16"/>
      <c r="CX293" s="16"/>
      <c r="CY293" s="16"/>
      <c r="CZ293" s="16"/>
      <c r="DA293" s="16"/>
      <c r="DB293" s="16"/>
      <c r="DC293" s="16"/>
      <c r="DD293" s="16"/>
      <c r="DE293" s="16"/>
      <c r="DF293" s="16"/>
      <c r="DG293" s="16"/>
      <c r="DH293" s="16"/>
      <c r="DI293" s="16"/>
      <c r="DJ293" s="16"/>
      <c r="DK293" s="16"/>
      <c r="DL293" s="16"/>
      <c r="DM293" s="16"/>
      <c r="DN293" s="16"/>
      <c r="DO293" s="16"/>
      <c r="DP293" s="16"/>
      <c r="DQ293" s="16"/>
      <c r="DR293" s="16"/>
      <c r="DS293" s="18"/>
    </row>
    <row r="294" spans="1:123">
      <c r="A294" s="55"/>
      <c r="B294" s="55"/>
      <c r="C294" s="55"/>
      <c r="D294" s="55"/>
      <c r="E294" s="55"/>
      <c r="F294" s="55"/>
      <c r="G294" s="55"/>
      <c r="H294" s="55"/>
      <c r="I294" s="55"/>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8"/>
    </row>
    <row r="295" spans="1:123">
      <c r="A295" s="55"/>
      <c r="B295" s="55"/>
      <c r="C295" s="55"/>
      <c r="D295" s="55"/>
      <c r="E295" s="55"/>
      <c r="F295" s="55"/>
      <c r="G295" s="55"/>
      <c r="H295" s="55"/>
      <c r="I295" s="55"/>
      <c r="CT295" s="16"/>
      <c r="CU295" s="16"/>
      <c r="CV295" s="16"/>
      <c r="CW295" s="16"/>
      <c r="CX295" s="16"/>
      <c r="CY295" s="16"/>
      <c r="CZ295" s="16"/>
      <c r="DA295" s="16"/>
      <c r="DB295" s="16"/>
      <c r="DC295" s="16"/>
      <c r="DD295" s="16"/>
      <c r="DE295" s="16"/>
      <c r="DF295" s="16"/>
      <c r="DG295" s="16"/>
      <c r="DH295" s="16"/>
      <c r="DI295" s="16"/>
      <c r="DJ295" s="16"/>
      <c r="DK295" s="16"/>
      <c r="DL295" s="16"/>
      <c r="DM295" s="16"/>
      <c r="DN295" s="16"/>
      <c r="DO295" s="16"/>
      <c r="DP295" s="16"/>
      <c r="DQ295" s="16"/>
      <c r="DR295" s="16"/>
      <c r="DS295" s="18"/>
    </row>
    <row r="296" spans="1:123">
      <c r="A296" s="55"/>
      <c r="B296" s="55"/>
      <c r="C296" s="55"/>
      <c r="D296" s="55"/>
      <c r="E296" s="55"/>
      <c r="F296" s="55"/>
      <c r="G296" s="55"/>
      <c r="H296" s="55"/>
      <c r="I296" s="55"/>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8"/>
    </row>
    <row r="297" spans="1:123">
      <c r="A297" s="55"/>
      <c r="B297" s="55"/>
      <c r="C297" s="55"/>
      <c r="D297" s="55"/>
      <c r="E297" s="55"/>
      <c r="F297" s="55"/>
      <c r="G297" s="55"/>
      <c r="H297" s="55"/>
      <c r="I297" s="55"/>
      <c r="CT297" s="16"/>
      <c r="CU297" s="16"/>
      <c r="CV297" s="16"/>
      <c r="CW297" s="16"/>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8"/>
    </row>
    <row r="298" spans="1:123">
      <c r="A298" s="55"/>
      <c r="B298" s="55"/>
      <c r="C298" s="55"/>
      <c r="D298" s="55"/>
      <c r="E298" s="55"/>
      <c r="F298" s="55"/>
      <c r="G298" s="55"/>
      <c r="H298" s="55"/>
      <c r="I298" s="55"/>
      <c r="CT298" s="16"/>
      <c r="CU298" s="16"/>
      <c r="CV298" s="16"/>
      <c r="CW298" s="16"/>
      <c r="CX298" s="16"/>
      <c r="CY298" s="16"/>
      <c r="CZ298" s="16"/>
      <c r="DA298" s="16"/>
      <c r="DB298" s="16"/>
      <c r="DC298" s="16"/>
      <c r="DD298" s="16"/>
      <c r="DE298" s="16"/>
      <c r="DF298" s="16"/>
      <c r="DG298" s="16"/>
      <c r="DH298" s="16"/>
      <c r="DI298" s="16"/>
      <c r="DJ298" s="16"/>
      <c r="DK298" s="16"/>
      <c r="DL298" s="16"/>
      <c r="DM298" s="16"/>
      <c r="DN298" s="16"/>
      <c r="DO298" s="16"/>
      <c r="DP298" s="16"/>
      <c r="DQ298" s="16"/>
      <c r="DR298" s="16"/>
      <c r="DS298" s="18"/>
    </row>
    <row r="299" spans="1:123">
      <c r="A299" s="55"/>
      <c r="B299" s="55"/>
      <c r="C299" s="55"/>
      <c r="D299" s="55"/>
      <c r="E299" s="55"/>
      <c r="F299" s="55"/>
      <c r="G299" s="55"/>
      <c r="H299" s="55"/>
      <c r="I299" s="55"/>
      <c r="CT299" s="16"/>
      <c r="CU299" s="16"/>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8"/>
    </row>
    <row r="300" spans="1:123">
      <c r="A300" s="55"/>
      <c r="B300" s="55"/>
      <c r="C300" s="55"/>
      <c r="D300" s="55"/>
      <c r="E300" s="55"/>
      <c r="F300" s="55"/>
      <c r="G300" s="55"/>
      <c r="H300" s="55"/>
      <c r="I300" s="55"/>
      <c r="CT300" s="16"/>
      <c r="CU300" s="16"/>
      <c r="CV300" s="16"/>
      <c r="CW300" s="16"/>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8"/>
    </row>
    <row r="301" spans="1:123">
      <c r="A301" s="55"/>
      <c r="B301" s="55"/>
      <c r="C301" s="55"/>
      <c r="D301" s="55"/>
      <c r="E301" s="55"/>
      <c r="F301" s="55"/>
      <c r="G301" s="55"/>
      <c r="H301" s="55"/>
      <c r="I301" s="55"/>
      <c r="CT301" s="16"/>
      <c r="CU301" s="16"/>
      <c r="CV301" s="16"/>
      <c r="CW301" s="16"/>
      <c r="CX301" s="16"/>
      <c r="CY301" s="16"/>
      <c r="CZ301" s="16"/>
      <c r="DA301" s="16"/>
      <c r="DB301" s="16"/>
      <c r="DC301" s="16"/>
      <c r="DD301" s="16"/>
      <c r="DE301" s="16"/>
      <c r="DF301" s="16"/>
      <c r="DG301" s="16"/>
      <c r="DH301" s="16"/>
      <c r="DI301" s="16"/>
      <c r="DJ301" s="16"/>
      <c r="DK301" s="16"/>
      <c r="DL301" s="16"/>
      <c r="DM301" s="16"/>
      <c r="DN301" s="16"/>
      <c r="DO301" s="16"/>
      <c r="DP301" s="16"/>
      <c r="DQ301" s="16"/>
      <c r="DR301" s="16"/>
      <c r="DS301" s="18"/>
    </row>
    <row r="302" spans="1:123">
      <c r="A302" s="55"/>
      <c r="B302" s="55"/>
      <c r="C302" s="55"/>
      <c r="D302" s="55"/>
      <c r="E302" s="55"/>
      <c r="F302" s="55"/>
      <c r="G302" s="55"/>
      <c r="H302" s="55"/>
      <c r="I302" s="55"/>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8"/>
    </row>
    <row r="303" spans="1:123">
      <c r="A303" s="55"/>
      <c r="B303" s="55"/>
      <c r="C303" s="55"/>
      <c r="D303" s="55"/>
      <c r="E303" s="55"/>
      <c r="F303" s="55"/>
      <c r="G303" s="55"/>
      <c r="H303" s="55"/>
      <c r="I303" s="55"/>
      <c r="CT303" s="16"/>
      <c r="CU303" s="16"/>
      <c r="CV303" s="16"/>
      <c r="CW303" s="16"/>
      <c r="CX303" s="16"/>
      <c r="CY303" s="16"/>
      <c r="CZ303" s="16"/>
      <c r="DA303" s="16"/>
      <c r="DB303" s="16"/>
      <c r="DC303" s="16"/>
      <c r="DD303" s="16"/>
      <c r="DE303" s="16"/>
      <c r="DF303" s="16"/>
      <c r="DG303" s="16"/>
      <c r="DH303" s="16"/>
      <c r="DI303" s="16"/>
      <c r="DJ303" s="16"/>
      <c r="DK303" s="16"/>
      <c r="DL303" s="16"/>
      <c r="DM303" s="16"/>
      <c r="DN303" s="16"/>
      <c r="DO303" s="16"/>
      <c r="DP303" s="16"/>
      <c r="DQ303" s="16"/>
      <c r="DR303" s="16"/>
      <c r="DS303" s="18"/>
    </row>
    <row r="304" spans="1:123">
      <c r="A304" s="55"/>
      <c r="B304" s="55"/>
      <c r="C304" s="55"/>
      <c r="D304" s="55"/>
      <c r="E304" s="55"/>
      <c r="F304" s="55"/>
      <c r="G304" s="55"/>
      <c r="H304" s="55"/>
      <c r="I304" s="55"/>
      <c r="CT304" s="16"/>
      <c r="CU304" s="16"/>
      <c r="CV304" s="16"/>
      <c r="CW304" s="16"/>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8"/>
    </row>
    <row r="305" spans="1:123">
      <c r="A305" s="55"/>
      <c r="B305" s="55"/>
      <c r="C305" s="55"/>
      <c r="D305" s="55"/>
      <c r="E305" s="55"/>
      <c r="F305" s="55"/>
      <c r="G305" s="55"/>
      <c r="H305" s="55"/>
      <c r="I305" s="55"/>
      <c r="CT305" s="16"/>
      <c r="CU305" s="16"/>
      <c r="CV305" s="16"/>
      <c r="CW305" s="16"/>
      <c r="CX305" s="16"/>
      <c r="CY305" s="16"/>
      <c r="CZ305" s="16"/>
      <c r="DA305" s="16"/>
      <c r="DB305" s="16"/>
      <c r="DC305" s="16"/>
      <c r="DD305" s="16"/>
      <c r="DE305" s="16"/>
      <c r="DF305" s="16"/>
      <c r="DG305" s="16"/>
      <c r="DH305" s="16"/>
      <c r="DI305" s="16"/>
      <c r="DJ305" s="16"/>
      <c r="DK305" s="16"/>
      <c r="DL305" s="16"/>
      <c r="DM305" s="16"/>
      <c r="DN305" s="16"/>
      <c r="DO305" s="16"/>
      <c r="DP305" s="16"/>
      <c r="DQ305" s="16"/>
      <c r="DR305" s="16"/>
      <c r="DS305" s="18"/>
    </row>
    <row r="306" spans="1:123">
      <c r="A306" s="55"/>
      <c r="B306" s="55"/>
      <c r="C306" s="55"/>
      <c r="D306" s="55"/>
      <c r="E306" s="55"/>
      <c r="F306" s="55"/>
      <c r="G306" s="55"/>
      <c r="H306" s="55"/>
      <c r="I306" s="55"/>
      <c r="CT306" s="16"/>
      <c r="CU306" s="16"/>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8"/>
    </row>
    <row r="307" spans="1:123">
      <c r="A307" s="55"/>
      <c r="B307" s="55"/>
      <c r="C307" s="55"/>
      <c r="D307" s="55"/>
      <c r="E307" s="55"/>
      <c r="F307" s="55"/>
      <c r="G307" s="55"/>
      <c r="H307" s="55"/>
      <c r="I307" s="55"/>
      <c r="CT307" s="16"/>
      <c r="CU307" s="16"/>
      <c r="CV307" s="16"/>
      <c r="CW307" s="16"/>
      <c r="CX307" s="16"/>
      <c r="CY307" s="16"/>
      <c r="CZ307" s="16"/>
      <c r="DA307" s="16"/>
      <c r="DB307" s="16"/>
      <c r="DC307" s="16"/>
      <c r="DD307" s="16"/>
      <c r="DE307" s="16"/>
      <c r="DF307" s="16"/>
      <c r="DG307" s="16"/>
      <c r="DH307" s="16"/>
      <c r="DI307" s="16"/>
      <c r="DJ307" s="16"/>
      <c r="DK307" s="16"/>
      <c r="DL307" s="16"/>
      <c r="DM307" s="16"/>
      <c r="DN307" s="16"/>
      <c r="DO307" s="16"/>
      <c r="DP307" s="16"/>
      <c r="DQ307" s="16"/>
      <c r="DR307" s="16"/>
      <c r="DS307" s="18"/>
    </row>
    <row r="308" spans="1:123">
      <c r="A308" s="55"/>
      <c r="B308" s="55"/>
      <c r="C308" s="55"/>
      <c r="D308" s="55"/>
      <c r="E308" s="55"/>
      <c r="F308" s="55"/>
      <c r="G308" s="55"/>
      <c r="H308" s="55"/>
      <c r="I308" s="55"/>
      <c r="CT308" s="16"/>
      <c r="CU308" s="16"/>
      <c r="CV308" s="16"/>
      <c r="CW308" s="16"/>
      <c r="CX308" s="16"/>
      <c r="CY308" s="16"/>
      <c r="CZ308" s="16"/>
      <c r="DA308" s="16"/>
      <c r="DB308" s="16"/>
      <c r="DC308" s="16"/>
      <c r="DD308" s="16"/>
      <c r="DE308" s="16"/>
      <c r="DF308" s="16"/>
      <c r="DG308" s="16"/>
      <c r="DH308" s="16"/>
      <c r="DI308" s="16"/>
      <c r="DJ308" s="16"/>
      <c r="DK308" s="16"/>
      <c r="DL308" s="16"/>
      <c r="DM308" s="16"/>
      <c r="DN308" s="16"/>
      <c r="DO308" s="16"/>
      <c r="DP308" s="16"/>
      <c r="DQ308" s="16"/>
      <c r="DR308" s="16"/>
      <c r="DS308" s="18"/>
    </row>
    <row r="309" spans="1:123">
      <c r="A309" s="55"/>
      <c r="B309" s="55"/>
      <c r="C309" s="55"/>
      <c r="D309" s="55"/>
      <c r="E309" s="55"/>
      <c r="F309" s="55"/>
      <c r="G309" s="55"/>
      <c r="H309" s="55"/>
      <c r="I309" s="55"/>
      <c r="CT309" s="16"/>
      <c r="CU309" s="16"/>
      <c r="CV309" s="16"/>
      <c r="CW309" s="16"/>
      <c r="CX309" s="16"/>
      <c r="CY309" s="16"/>
      <c r="CZ309" s="16"/>
      <c r="DA309" s="16"/>
      <c r="DB309" s="16"/>
      <c r="DC309" s="16"/>
      <c r="DD309" s="16"/>
      <c r="DE309" s="16"/>
      <c r="DF309" s="16"/>
      <c r="DG309" s="16"/>
      <c r="DH309" s="16"/>
      <c r="DI309" s="16"/>
      <c r="DJ309" s="16"/>
      <c r="DK309" s="16"/>
      <c r="DL309" s="16"/>
      <c r="DM309" s="16"/>
      <c r="DN309" s="16"/>
      <c r="DO309" s="16"/>
      <c r="DP309" s="16"/>
      <c r="DQ309" s="16"/>
      <c r="DR309" s="16"/>
      <c r="DS309" s="18"/>
    </row>
    <row r="310" spans="1:123">
      <c r="A310" s="55"/>
      <c r="B310" s="55"/>
      <c r="C310" s="55"/>
      <c r="D310" s="55"/>
      <c r="E310" s="55"/>
      <c r="F310" s="55"/>
      <c r="G310" s="55"/>
      <c r="H310" s="55"/>
      <c r="I310" s="55"/>
      <c r="CT310" s="16"/>
      <c r="CU310" s="16"/>
      <c r="CV310" s="16"/>
      <c r="CW310" s="16"/>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8"/>
    </row>
    <row r="311" spans="1:123">
      <c r="A311" s="55"/>
      <c r="B311" s="55"/>
      <c r="C311" s="55"/>
      <c r="D311" s="55"/>
      <c r="E311" s="55"/>
      <c r="F311" s="55"/>
      <c r="G311" s="55"/>
      <c r="H311" s="55"/>
      <c r="I311" s="55"/>
      <c r="CT311" s="16"/>
      <c r="CU311" s="16"/>
      <c r="CV311" s="16"/>
      <c r="CW311" s="16"/>
      <c r="CX311" s="16"/>
      <c r="CY311" s="16"/>
      <c r="CZ311" s="16"/>
      <c r="DA311" s="16"/>
      <c r="DB311" s="16"/>
      <c r="DC311" s="16"/>
      <c r="DD311" s="16"/>
      <c r="DE311" s="16"/>
      <c r="DF311" s="16"/>
      <c r="DG311" s="16"/>
      <c r="DH311" s="16"/>
      <c r="DI311" s="16"/>
      <c r="DJ311" s="16"/>
      <c r="DK311" s="16"/>
      <c r="DL311" s="16"/>
      <c r="DM311" s="16"/>
      <c r="DN311" s="16"/>
      <c r="DO311" s="16"/>
      <c r="DP311" s="16"/>
      <c r="DQ311" s="16"/>
      <c r="DR311" s="16"/>
    </row>
    <row r="312" spans="1:123">
      <c r="A312" s="55"/>
      <c r="B312" s="55"/>
      <c r="C312" s="55"/>
      <c r="D312" s="55"/>
      <c r="E312" s="55"/>
      <c r="F312" s="55"/>
      <c r="G312" s="55"/>
      <c r="H312" s="55"/>
      <c r="I312" s="55"/>
      <c r="CT312" s="16"/>
      <c r="CU312" s="16"/>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row>
    <row r="313" spans="1:123">
      <c r="A313" s="55"/>
      <c r="B313" s="55"/>
      <c r="C313" s="55"/>
      <c r="D313" s="55"/>
      <c r="E313" s="55"/>
      <c r="F313" s="55"/>
      <c r="G313" s="55"/>
      <c r="H313" s="55"/>
      <c r="I313" s="55"/>
      <c r="CT313" s="16"/>
      <c r="CU313" s="16"/>
      <c r="CV313" s="16"/>
      <c r="CW313" s="16"/>
      <c r="CX313" s="16"/>
      <c r="CY313" s="16"/>
      <c r="CZ313" s="16"/>
      <c r="DA313" s="16"/>
      <c r="DB313" s="16"/>
      <c r="DC313" s="16"/>
      <c r="DD313" s="16"/>
      <c r="DE313" s="16"/>
      <c r="DF313" s="16"/>
      <c r="DG313" s="16"/>
      <c r="DH313" s="16"/>
      <c r="DI313" s="16"/>
      <c r="DJ313" s="16"/>
      <c r="DK313" s="16"/>
      <c r="DL313" s="16"/>
      <c r="DM313" s="16"/>
      <c r="DN313" s="16"/>
      <c r="DO313" s="16"/>
      <c r="DP313" s="16"/>
      <c r="DQ313" s="16"/>
      <c r="DR313" s="16"/>
    </row>
    <row r="314" spans="1:123">
      <c r="A314" s="55"/>
      <c r="C314" s="55"/>
      <c r="D314" s="55"/>
      <c r="E314" s="55"/>
      <c r="F314" s="55"/>
      <c r="G314" s="55"/>
      <c r="H314" s="55"/>
      <c r="I314" s="55"/>
      <c r="CT314" s="16"/>
      <c r="CU314" s="16"/>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row>
    <row r="315" spans="1:123">
      <c r="CT315" s="16"/>
      <c r="CU315" s="16"/>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row>
    <row r="316" spans="1:123">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row>
    <row r="317" spans="1:123">
      <c r="CT317" s="16"/>
      <c r="CU317" s="16"/>
      <c r="CV317" s="16"/>
      <c r="CW317" s="16"/>
      <c r="CX317" s="16"/>
      <c r="CY317" s="16"/>
      <c r="CZ317" s="16"/>
      <c r="DA317" s="16"/>
      <c r="DB317" s="16"/>
      <c r="DC317" s="16"/>
      <c r="DD317" s="16"/>
      <c r="DE317" s="16"/>
      <c r="DF317" s="16"/>
      <c r="DG317" s="16"/>
      <c r="DH317" s="16"/>
      <c r="DI317" s="16"/>
      <c r="DJ317" s="16"/>
      <c r="DK317" s="16"/>
      <c r="DL317" s="16"/>
      <c r="DM317" s="16"/>
      <c r="DN317" s="16"/>
      <c r="DO317" s="16"/>
      <c r="DP317" s="16"/>
      <c r="DQ317" s="16"/>
      <c r="DR317" s="16"/>
    </row>
    <row r="318" spans="1:123">
      <c r="CT318" s="16"/>
      <c r="CU318" s="16"/>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row>
    <row r="319" spans="1:123">
      <c r="CT319" s="16"/>
      <c r="CU319" s="16"/>
      <c r="CV319" s="16"/>
      <c r="CW319" s="16"/>
      <c r="CX319" s="16"/>
      <c r="CY319" s="16"/>
      <c r="CZ319" s="16"/>
      <c r="DA319" s="16"/>
      <c r="DB319" s="16"/>
      <c r="DC319" s="16"/>
      <c r="DD319" s="16"/>
      <c r="DE319" s="16"/>
      <c r="DF319" s="16"/>
      <c r="DG319" s="16"/>
      <c r="DH319" s="16"/>
      <c r="DI319" s="16"/>
      <c r="DJ319" s="16"/>
      <c r="DK319" s="16"/>
      <c r="DL319" s="16"/>
      <c r="DM319" s="16"/>
      <c r="DN319" s="16"/>
      <c r="DO319" s="16"/>
      <c r="DP319" s="16"/>
      <c r="DQ319" s="16"/>
      <c r="DR319" s="16"/>
    </row>
    <row r="320" spans="1:123">
      <c r="CT320" s="16"/>
      <c r="CU320" s="16"/>
      <c r="CV320" s="16"/>
      <c r="CW320" s="16"/>
      <c r="CX320" s="16"/>
      <c r="CY320" s="16"/>
      <c r="CZ320" s="16"/>
      <c r="DA320" s="16"/>
      <c r="DB320" s="16"/>
      <c r="DC320" s="16"/>
      <c r="DD320" s="16"/>
      <c r="DE320" s="16"/>
      <c r="DF320" s="16"/>
      <c r="DG320" s="16"/>
      <c r="DH320" s="16"/>
      <c r="DI320" s="16"/>
      <c r="DJ320" s="16"/>
      <c r="DK320" s="16"/>
      <c r="DL320" s="16"/>
      <c r="DM320" s="16"/>
      <c r="DN320" s="16"/>
      <c r="DO320" s="16"/>
      <c r="DP320" s="16"/>
      <c r="DQ320" s="16"/>
      <c r="DR320" s="16"/>
    </row>
    <row r="321" spans="98:122">
      <c r="CT321" s="16"/>
      <c r="CU321" s="16"/>
      <c r="CV321" s="16"/>
      <c r="CW321" s="16"/>
      <c r="CX321" s="16"/>
      <c r="CY321" s="16"/>
      <c r="CZ321" s="16"/>
      <c r="DA321" s="16"/>
      <c r="DB321" s="16"/>
      <c r="DC321" s="16"/>
      <c r="DD321" s="16"/>
      <c r="DE321" s="16"/>
      <c r="DF321" s="16"/>
      <c r="DG321" s="16"/>
      <c r="DH321" s="16"/>
      <c r="DI321" s="16"/>
      <c r="DJ321" s="16"/>
      <c r="DK321" s="16"/>
      <c r="DL321" s="16"/>
      <c r="DM321" s="16"/>
      <c r="DN321" s="16"/>
      <c r="DO321" s="16"/>
      <c r="DP321" s="16"/>
      <c r="DQ321" s="16"/>
      <c r="DR321" s="16"/>
    </row>
    <row r="322" spans="98:122">
      <c r="CT322" s="16"/>
      <c r="CU322" s="16"/>
      <c r="CV322" s="16"/>
      <c r="CW322" s="16"/>
      <c r="CX322" s="16"/>
      <c r="CY322" s="16"/>
      <c r="CZ322" s="16"/>
      <c r="DA322" s="16"/>
      <c r="DB322" s="16"/>
      <c r="DC322" s="16"/>
      <c r="DD322" s="16"/>
      <c r="DE322" s="16"/>
      <c r="DF322" s="16"/>
      <c r="DG322" s="16"/>
      <c r="DH322" s="16"/>
      <c r="DI322" s="16"/>
      <c r="DJ322" s="16"/>
      <c r="DK322" s="16"/>
      <c r="DL322" s="16"/>
      <c r="DM322" s="16"/>
      <c r="DN322" s="16"/>
      <c r="DO322" s="16"/>
      <c r="DP322" s="16"/>
      <c r="DQ322" s="16"/>
      <c r="DR322" s="16"/>
    </row>
    <row r="323" spans="98:122">
      <c r="CT323" s="16"/>
      <c r="CU323" s="16"/>
      <c r="CV323" s="16"/>
      <c r="CW323" s="16"/>
      <c r="CX323" s="16"/>
      <c r="CY323" s="16"/>
      <c r="CZ323" s="16"/>
      <c r="DA323" s="16"/>
      <c r="DB323" s="16"/>
      <c r="DC323" s="16"/>
      <c r="DD323" s="16"/>
      <c r="DE323" s="16"/>
      <c r="DF323" s="16"/>
      <c r="DG323" s="16"/>
      <c r="DH323" s="16"/>
      <c r="DI323" s="16"/>
      <c r="DJ323" s="16"/>
      <c r="DK323" s="16"/>
      <c r="DL323" s="16"/>
      <c r="DM323" s="16"/>
      <c r="DN323" s="16"/>
      <c r="DO323" s="16"/>
      <c r="DP323" s="16"/>
      <c r="DQ323" s="16"/>
      <c r="DR323" s="16"/>
    </row>
    <row r="324" spans="98:122">
      <c r="CT324" s="16"/>
      <c r="CU324" s="16"/>
      <c r="CV324" s="16"/>
      <c r="CW324" s="16"/>
      <c r="CX324" s="16"/>
      <c r="CY324" s="16"/>
      <c r="CZ324" s="16"/>
      <c r="DA324" s="16"/>
      <c r="DB324" s="16"/>
      <c r="DC324" s="16"/>
      <c r="DD324" s="16"/>
      <c r="DE324" s="16"/>
      <c r="DF324" s="16"/>
      <c r="DG324" s="16"/>
      <c r="DH324" s="16"/>
      <c r="DI324" s="16"/>
      <c r="DJ324" s="16"/>
      <c r="DK324" s="16"/>
      <c r="DL324" s="16"/>
      <c r="DM324" s="16"/>
      <c r="DN324" s="16"/>
      <c r="DO324" s="16"/>
      <c r="DP324" s="16"/>
      <c r="DQ324" s="16"/>
      <c r="DR324" s="16"/>
    </row>
    <row r="325" spans="98:122">
      <c r="CT325" s="16"/>
      <c r="CU325" s="16"/>
      <c r="CV325" s="16"/>
      <c r="CW325" s="16"/>
      <c r="CX325" s="16"/>
      <c r="CY325" s="16"/>
      <c r="CZ325" s="16"/>
      <c r="DA325" s="16"/>
      <c r="DB325" s="16"/>
      <c r="DC325" s="16"/>
      <c r="DD325" s="16"/>
      <c r="DE325" s="16"/>
      <c r="DF325" s="16"/>
      <c r="DG325" s="16"/>
      <c r="DH325" s="16"/>
      <c r="DI325" s="16"/>
      <c r="DJ325" s="16"/>
      <c r="DK325" s="16"/>
      <c r="DL325" s="16"/>
      <c r="DM325" s="16"/>
      <c r="DN325" s="16"/>
      <c r="DO325" s="16"/>
      <c r="DP325" s="16"/>
      <c r="DQ325" s="16"/>
      <c r="DR325" s="16"/>
    </row>
    <row r="326" spans="98:122">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row>
    <row r="327" spans="98:122">
      <c r="CT327" s="16"/>
      <c r="CU327" s="16"/>
      <c r="CV327" s="16"/>
      <c r="CW327" s="16"/>
      <c r="CX327" s="16"/>
      <c r="CY327" s="16"/>
      <c r="CZ327" s="16"/>
      <c r="DA327" s="16"/>
      <c r="DB327" s="16"/>
      <c r="DC327" s="16"/>
      <c r="DD327" s="16"/>
      <c r="DE327" s="16"/>
      <c r="DF327" s="16"/>
      <c r="DG327" s="16"/>
      <c r="DH327" s="16"/>
      <c r="DI327" s="16"/>
      <c r="DJ327" s="16"/>
      <c r="DK327" s="16"/>
      <c r="DL327" s="16"/>
      <c r="DM327" s="16"/>
      <c r="DN327" s="16"/>
      <c r="DO327" s="16"/>
      <c r="DP327" s="16"/>
      <c r="DQ327" s="16"/>
      <c r="DR327" s="16"/>
    </row>
    <row r="328" spans="98:122">
      <c r="CT328" s="16"/>
      <c r="CU328" s="16"/>
      <c r="CV328" s="16"/>
      <c r="CW328" s="16"/>
      <c r="CX328" s="16"/>
      <c r="CY328" s="16"/>
      <c r="CZ328" s="16"/>
      <c r="DA328" s="16"/>
      <c r="DB328" s="16"/>
      <c r="DC328" s="16"/>
      <c r="DD328" s="16"/>
      <c r="DE328" s="16"/>
      <c r="DF328" s="16"/>
      <c r="DG328" s="16"/>
      <c r="DH328" s="16"/>
      <c r="DI328" s="16"/>
      <c r="DJ328" s="16"/>
      <c r="DK328" s="16"/>
      <c r="DL328" s="16"/>
      <c r="DM328" s="16"/>
      <c r="DN328" s="16"/>
      <c r="DO328" s="16"/>
      <c r="DP328" s="16"/>
      <c r="DQ328" s="16"/>
      <c r="DR328" s="16"/>
    </row>
    <row r="329" spans="98:122">
      <c r="CT329" s="16"/>
      <c r="CU329" s="16"/>
      <c r="CV329" s="16"/>
      <c r="CW329" s="16"/>
      <c r="CX329" s="16"/>
      <c r="CY329" s="16"/>
      <c r="CZ329" s="16"/>
      <c r="DA329" s="16"/>
      <c r="DB329" s="16"/>
      <c r="DC329" s="16"/>
      <c r="DD329" s="16"/>
      <c r="DE329" s="16"/>
      <c r="DF329" s="16"/>
      <c r="DG329" s="16"/>
      <c r="DH329" s="16"/>
      <c r="DI329" s="16"/>
      <c r="DJ329" s="16"/>
      <c r="DK329" s="16"/>
      <c r="DL329" s="16"/>
      <c r="DM329" s="16"/>
      <c r="DN329" s="16"/>
      <c r="DO329" s="16"/>
      <c r="DP329" s="16"/>
      <c r="DQ329" s="16"/>
      <c r="DR329" s="16"/>
    </row>
    <row r="330" spans="98:122">
      <c r="CT330" s="16"/>
      <c r="CU330" s="16"/>
      <c r="CV330" s="16"/>
      <c r="CW330" s="16"/>
      <c r="CX330" s="16"/>
      <c r="CY330" s="16"/>
      <c r="CZ330" s="16"/>
      <c r="DA330" s="16"/>
      <c r="DB330" s="16"/>
      <c r="DC330" s="16"/>
      <c r="DD330" s="16"/>
      <c r="DE330" s="16"/>
      <c r="DF330" s="16"/>
      <c r="DG330" s="16"/>
      <c r="DH330" s="16"/>
      <c r="DI330" s="16"/>
      <c r="DJ330" s="16"/>
      <c r="DK330" s="16"/>
      <c r="DL330" s="16"/>
      <c r="DM330" s="16"/>
      <c r="DN330" s="16"/>
      <c r="DO330" s="16"/>
      <c r="DP330" s="16"/>
      <c r="DQ330" s="16"/>
      <c r="DR330" s="16"/>
    </row>
    <row r="331" spans="98:122">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row>
    <row r="332" spans="98:122">
      <c r="CT332" s="16"/>
      <c r="CU332" s="16"/>
      <c r="CV332" s="16"/>
      <c r="CW332" s="16"/>
      <c r="CX332" s="16"/>
      <c r="CY332" s="16"/>
      <c r="CZ332" s="16"/>
      <c r="DA332" s="16"/>
      <c r="DB332" s="16"/>
      <c r="DC332" s="16"/>
      <c r="DD332" s="16"/>
      <c r="DE332" s="16"/>
      <c r="DF332" s="16"/>
      <c r="DG332" s="16"/>
      <c r="DH332" s="16"/>
      <c r="DI332" s="16"/>
      <c r="DJ332" s="16"/>
      <c r="DK332" s="16"/>
      <c r="DL332" s="16"/>
      <c r="DM332" s="16"/>
      <c r="DN332" s="16"/>
      <c r="DO332" s="16"/>
      <c r="DP332" s="16"/>
      <c r="DQ332" s="16"/>
      <c r="DR332" s="16"/>
    </row>
    <row r="333" spans="98:122">
      <c r="CT333" s="16"/>
      <c r="CU333" s="16"/>
      <c r="CV333" s="16"/>
      <c r="CW333" s="16"/>
      <c r="CX333" s="16"/>
      <c r="CY333" s="16"/>
      <c r="CZ333" s="16"/>
      <c r="DA333" s="16"/>
      <c r="DB333" s="16"/>
      <c r="DC333" s="16"/>
      <c r="DD333" s="16"/>
      <c r="DE333" s="16"/>
      <c r="DF333" s="16"/>
      <c r="DG333" s="16"/>
      <c r="DH333" s="16"/>
      <c r="DI333" s="16"/>
      <c r="DJ333" s="16"/>
      <c r="DK333" s="16"/>
      <c r="DL333" s="16"/>
      <c r="DM333" s="16"/>
      <c r="DN333" s="16"/>
      <c r="DO333" s="16"/>
      <c r="DP333" s="16"/>
      <c r="DQ333" s="16"/>
      <c r="DR333" s="16"/>
    </row>
    <row r="334" spans="98:122">
      <c r="CT334" s="16"/>
      <c r="CU334" s="16"/>
      <c r="CV334" s="16"/>
      <c r="CW334" s="16"/>
      <c r="CX334" s="16"/>
      <c r="CY334" s="16"/>
      <c r="CZ334" s="16"/>
      <c r="DA334" s="16"/>
      <c r="DB334" s="16"/>
      <c r="DC334" s="16"/>
      <c r="DD334" s="16"/>
      <c r="DE334" s="16"/>
      <c r="DF334" s="16"/>
      <c r="DG334" s="16"/>
      <c r="DH334" s="16"/>
      <c r="DI334" s="16"/>
      <c r="DJ334" s="16"/>
      <c r="DK334" s="16"/>
      <c r="DL334" s="16"/>
      <c r="DM334" s="16"/>
      <c r="DN334" s="16"/>
      <c r="DO334" s="16"/>
      <c r="DP334" s="16"/>
      <c r="DQ334" s="16"/>
      <c r="DR334" s="16"/>
    </row>
    <row r="335" spans="98:122">
      <c r="CT335" s="16"/>
      <c r="CU335" s="16"/>
      <c r="CV335" s="16"/>
      <c r="CW335" s="16"/>
      <c r="CX335" s="16"/>
      <c r="CY335" s="16"/>
      <c r="CZ335" s="16"/>
      <c r="DA335" s="16"/>
      <c r="DB335" s="16"/>
      <c r="DC335" s="16"/>
      <c r="DD335" s="16"/>
      <c r="DE335" s="16"/>
      <c r="DF335" s="16"/>
      <c r="DG335" s="16"/>
      <c r="DH335" s="16"/>
      <c r="DI335" s="16"/>
      <c r="DJ335" s="16"/>
      <c r="DK335" s="16"/>
      <c r="DL335" s="16"/>
      <c r="DM335" s="16"/>
      <c r="DN335" s="16"/>
      <c r="DO335" s="16"/>
      <c r="DP335" s="16"/>
      <c r="DQ335" s="16"/>
      <c r="DR335" s="16"/>
    </row>
    <row r="336" spans="98:122">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row>
    <row r="337" spans="98:122">
      <c r="CT337" s="16"/>
      <c r="CU337" s="16"/>
      <c r="CV337" s="16"/>
      <c r="CW337" s="16"/>
      <c r="CX337" s="16"/>
      <c r="CY337" s="16"/>
      <c r="CZ337" s="16"/>
      <c r="DA337" s="16"/>
      <c r="DB337" s="16"/>
      <c r="DC337" s="16"/>
      <c r="DD337" s="16"/>
      <c r="DE337" s="16"/>
      <c r="DF337" s="16"/>
      <c r="DG337" s="16"/>
      <c r="DH337" s="16"/>
      <c r="DI337" s="16"/>
      <c r="DJ337" s="16"/>
      <c r="DK337" s="16"/>
      <c r="DL337" s="16"/>
      <c r="DM337" s="16"/>
      <c r="DN337" s="16"/>
      <c r="DO337" s="16"/>
      <c r="DP337" s="16"/>
      <c r="DQ337" s="16"/>
      <c r="DR337" s="16"/>
    </row>
    <row r="338" spans="98:122">
      <c r="CT338" s="16"/>
      <c r="CU338" s="16"/>
      <c r="CV338" s="16"/>
      <c r="CW338" s="16"/>
      <c r="CX338" s="16"/>
      <c r="CY338" s="16"/>
      <c r="CZ338" s="16"/>
      <c r="DA338" s="16"/>
      <c r="DB338" s="16"/>
      <c r="DC338" s="16"/>
      <c r="DD338" s="16"/>
      <c r="DE338" s="16"/>
      <c r="DF338" s="16"/>
      <c r="DG338" s="16"/>
      <c r="DH338" s="16"/>
      <c r="DI338" s="16"/>
      <c r="DJ338" s="16"/>
      <c r="DK338" s="16"/>
      <c r="DL338" s="16"/>
      <c r="DM338" s="16"/>
      <c r="DN338" s="16"/>
      <c r="DO338" s="16"/>
      <c r="DP338" s="16"/>
      <c r="DQ338" s="16"/>
      <c r="DR338" s="16"/>
    </row>
    <row r="339" spans="98:122">
      <c r="CT339" s="16"/>
      <c r="CU339" s="16"/>
      <c r="CV339" s="16"/>
      <c r="CW339" s="16"/>
      <c r="CX339" s="16"/>
      <c r="CY339" s="16"/>
      <c r="CZ339" s="16"/>
      <c r="DA339" s="16"/>
      <c r="DB339" s="16"/>
      <c r="DC339" s="16"/>
      <c r="DD339" s="16"/>
      <c r="DE339" s="16"/>
      <c r="DF339" s="16"/>
      <c r="DG339" s="16"/>
      <c r="DH339" s="16"/>
      <c r="DI339" s="16"/>
      <c r="DJ339" s="16"/>
      <c r="DK339" s="16"/>
      <c r="DL339" s="16"/>
      <c r="DM339" s="16"/>
      <c r="DN339" s="16"/>
      <c r="DO339" s="16"/>
      <c r="DP339" s="16"/>
      <c r="DQ339" s="16"/>
      <c r="DR339" s="16"/>
    </row>
    <row r="340" spans="98:122">
      <c r="CT340" s="16"/>
      <c r="CU340" s="16"/>
      <c r="CV340" s="16"/>
      <c r="CW340" s="16"/>
      <c r="CX340" s="16"/>
      <c r="CY340" s="16"/>
      <c r="CZ340" s="16"/>
      <c r="DA340" s="16"/>
      <c r="DB340" s="16"/>
      <c r="DC340" s="16"/>
      <c r="DD340" s="16"/>
      <c r="DE340" s="16"/>
      <c r="DF340" s="16"/>
      <c r="DG340" s="16"/>
      <c r="DH340" s="16"/>
      <c r="DI340" s="16"/>
      <c r="DJ340" s="16"/>
      <c r="DK340" s="16"/>
      <c r="DL340" s="16"/>
      <c r="DM340" s="16"/>
      <c r="DN340" s="16"/>
      <c r="DO340" s="16"/>
      <c r="DP340" s="16"/>
      <c r="DQ340" s="16"/>
      <c r="DR340" s="16"/>
    </row>
    <row r="341" spans="98:122">
      <c r="CT341" s="16"/>
      <c r="CU341" s="16"/>
      <c r="CV341" s="16"/>
      <c r="CW341" s="16"/>
      <c r="CX341" s="16"/>
      <c r="CY341" s="16"/>
      <c r="CZ341" s="16"/>
      <c r="DA341" s="16"/>
      <c r="DB341" s="16"/>
      <c r="DC341" s="16"/>
      <c r="DD341" s="16"/>
      <c r="DE341" s="16"/>
      <c r="DF341" s="16"/>
      <c r="DG341" s="16"/>
      <c r="DH341" s="16"/>
      <c r="DI341" s="16"/>
      <c r="DJ341" s="16"/>
      <c r="DK341" s="16"/>
      <c r="DL341" s="16"/>
      <c r="DM341" s="16"/>
      <c r="DN341" s="16"/>
      <c r="DO341" s="16"/>
      <c r="DP341" s="16"/>
      <c r="DQ341" s="16"/>
      <c r="DR341" s="16"/>
    </row>
    <row r="342" spans="98:122">
      <c r="CT342" s="16"/>
      <c r="CU342" s="16"/>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row>
    <row r="343" spans="98:122">
      <c r="CT343" s="16"/>
      <c r="CU343" s="16"/>
      <c r="CV343" s="16"/>
      <c r="CW343" s="16"/>
      <c r="CX343" s="16"/>
      <c r="CY343" s="16"/>
      <c r="CZ343" s="16"/>
      <c r="DA343" s="16"/>
      <c r="DB343" s="16"/>
      <c r="DC343" s="16"/>
      <c r="DD343" s="16"/>
      <c r="DE343" s="16"/>
      <c r="DF343" s="16"/>
      <c r="DG343" s="16"/>
      <c r="DH343" s="16"/>
      <c r="DI343" s="16"/>
      <c r="DJ343" s="16"/>
      <c r="DK343" s="16"/>
      <c r="DL343" s="16"/>
      <c r="DM343" s="16"/>
      <c r="DN343" s="16"/>
      <c r="DO343" s="16"/>
      <c r="DP343" s="16"/>
      <c r="DQ343" s="16"/>
      <c r="DR343" s="16"/>
    </row>
    <row r="344" spans="98:122">
      <c r="CT344" s="16"/>
      <c r="CU344" s="16"/>
      <c r="CV344" s="16"/>
      <c r="CW344" s="16"/>
      <c r="CX344" s="16"/>
      <c r="CY344" s="16"/>
      <c r="CZ344" s="16"/>
      <c r="DA344" s="16"/>
      <c r="DB344" s="16"/>
      <c r="DC344" s="16"/>
      <c r="DD344" s="16"/>
      <c r="DE344" s="16"/>
      <c r="DF344" s="16"/>
      <c r="DG344" s="16"/>
      <c r="DH344" s="16"/>
      <c r="DI344" s="16"/>
      <c r="DJ344" s="16"/>
      <c r="DK344" s="16"/>
      <c r="DL344" s="16"/>
      <c r="DM344" s="16"/>
      <c r="DN344" s="16"/>
      <c r="DO344" s="16"/>
      <c r="DP344" s="16"/>
      <c r="DQ344" s="16"/>
      <c r="DR344" s="16"/>
    </row>
    <row r="345" spans="98:122">
      <c r="CT345" s="16"/>
      <c r="CU345" s="16"/>
      <c r="CV345" s="16"/>
      <c r="CW345" s="16"/>
      <c r="CX345" s="16"/>
      <c r="CY345" s="16"/>
      <c r="CZ345" s="16"/>
      <c r="DA345" s="16"/>
      <c r="DB345" s="16"/>
      <c r="DC345" s="16"/>
      <c r="DD345" s="16"/>
      <c r="DE345" s="16"/>
      <c r="DF345" s="16"/>
      <c r="DG345" s="16"/>
      <c r="DH345" s="16"/>
      <c r="DI345" s="16"/>
      <c r="DJ345" s="16"/>
      <c r="DK345" s="16"/>
      <c r="DL345" s="16"/>
      <c r="DM345" s="16"/>
      <c r="DN345" s="16"/>
      <c r="DO345" s="16"/>
      <c r="DP345" s="16"/>
      <c r="DQ345" s="16"/>
      <c r="DR345" s="16"/>
    </row>
    <row r="346" spans="98:122">
      <c r="CT346" s="16"/>
      <c r="CU346" s="16"/>
      <c r="CV346" s="16"/>
      <c r="CW346" s="16"/>
      <c r="CX346" s="16"/>
      <c r="CY346" s="16"/>
      <c r="CZ346" s="16"/>
      <c r="DA346" s="16"/>
      <c r="DB346" s="16"/>
      <c r="DC346" s="16"/>
      <c r="DD346" s="16"/>
      <c r="DE346" s="16"/>
      <c r="DF346" s="16"/>
      <c r="DG346" s="16"/>
      <c r="DH346" s="16"/>
      <c r="DI346" s="16"/>
      <c r="DJ346" s="16"/>
      <c r="DK346" s="16"/>
      <c r="DL346" s="16"/>
      <c r="DM346" s="16"/>
      <c r="DN346" s="16"/>
      <c r="DO346" s="16"/>
      <c r="DP346" s="16"/>
      <c r="DQ346" s="16"/>
      <c r="DR346" s="16"/>
    </row>
    <row r="347" spans="98:122">
      <c r="CT347" s="16"/>
      <c r="CU347" s="16"/>
      <c r="CV347" s="16"/>
      <c r="CW347" s="16"/>
      <c r="CX347" s="16"/>
      <c r="CY347" s="16"/>
      <c r="CZ347" s="16"/>
      <c r="DA347" s="16"/>
      <c r="DB347" s="16"/>
      <c r="DC347" s="16"/>
      <c r="DD347" s="16"/>
      <c r="DE347" s="16"/>
      <c r="DF347" s="16"/>
      <c r="DG347" s="16"/>
      <c r="DH347" s="16"/>
      <c r="DI347" s="16"/>
      <c r="DJ347" s="16"/>
      <c r="DK347" s="16"/>
      <c r="DL347" s="16"/>
      <c r="DM347" s="16"/>
      <c r="DN347" s="16"/>
      <c r="DO347" s="16"/>
      <c r="DP347" s="16"/>
      <c r="DQ347" s="16"/>
      <c r="DR347" s="16"/>
    </row>
    <row r="348" spans="98:122">
      <c r="CT348" s="16"/>
      <c r="CU348" s="16"/>
      <c r="CV348" s="16"/>
      <c r="CW348" s="16"/>
      <c r="CX348" s="16"/>
      <c r="CY348" s="16"/>
      <c r="CZ348" s="16"/>
      <c r="DA348" s="16"/>
      <c r="DB348" s="16"/>
      <c r="DC348" s="16"/>
      <c r="DD348" s="16"/>
      <c r="DE348" s="16"/>
      <c r="DF348" s="16"/>
      <c r="DG348" s="16"/>
      <c r="DH348" s="16"/>
      <c r="DI348" s="16"/>
      <c r="DJ348" s="16"/>
      <c r="DK348" s="16"/>
      <c r="DL348" s="16"/>
      <c r="DM348" s="16"/>
      <c r="DN348" s="16"/>
      <c r="DO348" s="16"/>
      <c r="DP348" s="16"/>
      <c r="DQ348" s="16"/>
      <c r="DR348" s="16"/>
    </row>
    <row r="349" spans="98:122">
      <c r="CT349" s="16"/>
      <c r="CU349" s="16"/>
      <c r="CV349" s="16"/>
      <c r="CW349" s="16"/>
      <c r="CX349" s="16"/>
      <c r="CY349" s="16"/>
      <c r="CZ349" s="16"/>
      <c r="DA349" s="16"/>
      <c r="DB349" s="16"/>
      <c r="DC349" s="16"/>
      <c r="DD349" s="16"/>
      <c r="DE349" s="16"/>
      <c r="DF349" s="16"/>
      <c r="DG349" s="16"/>
      <c r="DH349" s="16"/>
      <c r="DI349" s="16"/>
      <c r="DJ349" s="16"/>
      <c r="DK349" s="16"/>
      <c r="DL349" s="16"/>
      <c r="DM349" s="16"/>
      <c r="DN349" s="16"/>
      <c r="DO349" s="16"/>
      <c r="DP349" s="16"/>
      <c r="DQ349" s="16"/>
      <c r="DR349" s="16"/>
    </row>
    <row r="350" spans="98:122">
      <c r="CT350" s="16"/>
      <c r="CU350" s="16"/>
      <c r="CV350" s="16"/>
      <c r="CW350" s="16"/>
      <c r="CX350" s="16"/>
      <c r="CY350" s="16"/>
      <c r="CZ350" s="16"/>
      <c r="DA350" s="16"/>
      <c r="DB350" s="16"/>
      <c r="DC350" s="16"/>
      <c r="DD350" s="16"/>
      <c r="DE350" s="16"/>
      <c r="DF350" s="16"/>
      <c r="DG350" s="16"/>
      <c r="DH350" s="16"/>
      <c r="DI350" s="16"/>
      <c r="DJ350" s="16"/>
      <c r="DK350" s="16"/>
      <c r="DL350" s="16"/>
      <c r="DM350" s="16"/>
      <c r="DN350" s="16"/>
      <c r="DO350" s="16"/>
      <c r="DP350" s="16"/>
      <c r="DQ350" s="16"/>
      <c r="DR350" s="16"/>
    </row>
    <row r="351" spans="98:122">
      <c r="CT351" s="16"/>
      <c r="CU351" s="16"/>
      <c r="CV351" s="16"/>
      <c r="CW351" s="16"/>
      <c r="CX351" s="16"/>
      <c r="CY351" s="16"/>
      <c r="CZ351" s="16"/>
      <c r="DA351" s="16"/>
      <c r="DB351" s="16"/>
      <c r="DC351" s="16"/>
      <c r="DD351" s="16"/>
      <c r="DE351" s="16"/>
      <c r="DF351" s="16"/>
      <c r="DG351" s="16"/>
      <c r="DH351" s="16"/>
      <c r="DI351" s="16"/>
      <c r="DJ351" s="16"/>
      <c r="DK351" s="16"/>
      <c r="DL351" s="16"/>
      <c r="DM351" s="16"/>
      <c r="DN351" s="16"/>
      <c r="DO351" s="16"/>
      <c r="DP351" s="16"/>
      <c r="DQ351" s="16"/>
      <c r="DR351" s="16"/>
    </row>
    <row r="352" spans="98:122">
      <c r="CT352" s="16"/>
      <c r="CU352" s="16"/>
      <c r="CV352" s="16"/>
      <c r="CW352" s="16"/>
      <c r="CX352" s="16"/>
      <c r="CY352" s="16"/>
      <c r="CZ352" s="16"/>
      <c r="DA352" s="16"/>
      <c r="DB352" s="16"/>
      <c r="DC352" s="16"/>
      <c r="DD352" s="16"/>
      <c r="DE352" s="16"/>
      <c r="DF352" s="16"/>
      <c r="DG352" s="16"/>
      <c r="DH352" s="16"/>
      <c r="DI352" s="16"/>
      <c r="DJ352" s="16"/>
      <c r="DK352" s="16"/>
      <c r="DL352" s="16"/>
      <c r="DM352" s="16"/>
      <c r="DN352" s="16"/>
      <c r="DO352" s="16"/>
      <c r="DP352" s="16"/>
      <c r="DQ352" s="16"/>
      <c r="DR352" s="16"/>
    </row>
    <row r="353" spans="98:122">
      <c r="CT353" s="16"/>
      <c r="CU353" s="16"/>
      <c r="CV353" s="16"/>
      <c r="CW353" s="16"/>
      <c r="CX353" s="16"/>
      <c r="CY353" s="16"/>
      <c r="CZ353" s="16"/>
      <c r="DA353" s="16"/>
      <c r="DB353" s="16"/>
      <c r="DC353" s="16"/>
      <c r="DD353" s="16"/>
      <c r="DE353" s="16"/>
      <c r="DF353" s="16"/>
      <c r="DG353" s="16"/>
      <c r="DH353" s="16"/>
      <c r="DI353" s="16"/>
      <c r="DJ353" s="16"/>
      <c r="DK353" s="16"/>
      <c r="DL353" s="16"/>
      <c r="DM353" s="16"/>
      <c r="DN353" s="16"/>
      <c r="DO353" s="16"/>
      <c r="DP353" s="16"/>
      <c r="DQ353" s="16"/>
      <c r="DR353" s="16"/>
    </row>
    <row r="354" spans="98:122">
      <c r="CT354" s="16"/>
      <c r="CU354" s="16"/>
      <c r="CV354" s="16"/>
      <c r="CW354" s="16"/>
      <c r="CX354" s="16"/>
      <c r="CY354" s="16"/>
      <c r="CZ354" s="16"/>
      <c r="DA354" s="16"/>
      <c r="DB354" s="16"/>
      <c r="DC354" s="16"/>
      <c r="DD354" s="16"/>
      <c r="DE354" s="16"/>
      <c r="DF354" s="16"/>
      <c r="DG354" s="16"/>
      <c r="DH354" s="16"/>
      <c r="DI354" s="16"/>
      <c r="DJ354" s="16"/>
      <c r="DK354" s="16"/>
      <c r="DL354" s="16"/>
      <c r="DM354" s="16"/>
      <c r="DN354" s="16"/>
      <c r="DO354" s="16"/>
      <c r="DP354" s="16"/>
      <c r="DQ354" s="16"/>
      <c r="DR354" s="16"/>
    </row>
    <row r="355" spans="98:122">
      <c r="CT355" s="16"/>
      <c r="CU355" s="16"/>
      <c r="CV355" s="16"/>
      <c r="CW355" s="16"/>
      <c r="CX355" s="16"/>
      <c r="CY355" s="16"/>
      <c r="CZ355" s="16"/>
      <c r="DA355" s="16"/>
      <c r="DB355" s="16"/>
      <c r="DC355" s="16"/>
      <c r="DD355" s="16"/>
      <c r="DE355" s="16"/>
      <c r="DF355" s="16"/>
      <c r="DG355" s="16"/>
      <c r="DH355" s="16"/>
      <c r="DI355" s="16"/>
      <c r="DJ355" s="16"/>
      <c r="DK355" s="16"/>
      <c r="DL355" s="16"/>
      <c r="DM355" s="16"/>
      <c r="DN355" s="16"/>
      <c r="DO355" s="16"/>
      <c r="DP355" s="16"/>
      <c r="DQ355" s="16"/>
      <c r="DR355" s="16"/>
    </row>
    <row r="356" spans="98:122">
      <c r="CT356" s="16"/>
      <c r="CU356" s="16"/>
      <c r="CV356" s="16"/>
      <c r="CW356" s="16"/>
      <c r="CX356" s="16"/>
      <c r="CY356" s="16"/>
      <c r="CZ356" s="16"/>
      <c r="DA356" s="16"/>
      <c r="DB356" s="16"/>
      <c r="DC356" s="16"/>
      <c r="DD356" s="16"/>
      <c r="DE356" s="16"/>
      <c r="DF356" s="16"/>
      <c r="DG356" s="16"/>
      <c r="DH356" s="16"/>
      <c r="DI356" s="16"/>
      <c r="DJ356" s="16"/>
      <c r="DK356" s="16"/>
      <c r="DL356" s="16"/>
      <c r="DM356" s="16"/>
      <c r="DN356" s="16"/>
      <c r="DO356" s="16"/>
      <c r="DP356" s="16"/>
      <c r="DQ356" s="16"/>
      <c r="DR356" s="16"/>
    </row>
    <row r="357" spans="98:122">
      <c r="CT357" s="16"/>
      <c r="CU357" s="16"/>
      <c r="CV357" s="16"/>
      <c r="CW357" s="16"/>
      <c r="CX357" s="16"/>
      <c r="CY357" s="16"/>
      <c r="CZ357" s="16"/>
      <c r="DA357" s="16"/>
      <c r="DB357" s="16"/>
      <c r="DC357" s="16"/>
      <c r="DD357" s="16"/>
      <c r="DE357" s="16"/>
      <c r="DF357" s="16"/>
      <c r="DG357" s="16"/>
      <c r="DH357" s="16"/>
      <c r="DI357" s="16"/>
      <c r="DJ357" s="16"/>
      <c r="DK357" s="16"/>
      <c r="DL357" s="16"/>
      <c r="DM357" s="16"/>
      <c r="DN357" s="16"/>
      <c r="DO357" s="16"/>
      <c r="DP357" s="16"/>
      <c r="DQ357" s="16"/>
      <c r="DR357" s="16"/>
    </row>
    <row r="358" spans="98:122">
      <c r="CT358" s="16"/>
      <c r="CU358" s="16"/>
      <c r="CV358" s="16"/>
      <c r="CW358" s="16"/>
      <c r="CX358" s="16"/>
      <c r="CY358" s="16"/>
      <c r="CZ358" s="16"/>
      <c r="DA358" s="16"/>
      <c r="DB358" s="16"/>
      <c r="DC358" s="16"/>
      <c r="DD358" s="16"/>
      <c r="DE358" s="16"/>
      <c r="DF358" s="16"/>
      <c r="DG358" s="16"/>
      <c r="DH358" s="16"/>
      <c r="DI358" s="16"/>
      <c r="DJ358" s="16"/>
      <c r="DK358" s="16"/>
      <c r="DL358" s="16"/>
      <c r="DM358" s="16"/>
      <c r="DN358" s="16"/>
      <c r="DO358" s="16"/>
      <c r="DP358" s="16"/>
      <c r="DQ358" s="16"/>
      <c r="DR358" s="16"/>
    </row>
    <row r="359" spans="98:122">
      <c r="CT359" s="16"/>
      <c r="CU359" s="16"/>
      <c r="CV359" s="16"/>
      <c r="CW359" s="16"/>
      <c r="CX359" s="16"/>
      <c r="CY359" s="16"/>
      <c r="CZ359" s="16"/>
      <c r="DA359" s="16"/>
      <c r="DB359" s="16"/>
      <c r="DC359" s="16"/>
      <c r="DD359" s="16"/>
      <c r="DE359" s="16"/>
      <c r="DF359" s="16"/>
      <c r="DG359" s="16"/>
      <c r="DH359" s="16"/>
      <c r="DI359" s="16"/>
      <c r="DJ359" s="16"/>
      <c r="DK359" s="16"/>
      <c r="DL359" s="16"/>
      <c r="DM359" s="16"/>
      <c r="DN359" s="16"/>
      <c r="DO359" s="16"/>
      <c r="DP359" s="16"/>
      <c r="DQ359" s="16"/>
      <c r="DR359" s="16"/>
    </row>
    <row r="360" spans="98:122">
      <c r="CT360" s="16"/>
      <c r="CU360" s="16"/>
      <c r="CV360" s="16"/>
      <c r="CW360" s="16"/>
      <c r="CX360" s="16"/>
      <c r="CY360" s="16"/>
      <c r="CZ360" s="16"/>
      <c r="DA360" s="16"/>
      <c r="DB360" s="16"/>
      <c r="DC360" s="16"/>
      <c r="DD360" s="16"/>
      <c r="DE360" s="16"/>
      <c r="DF360" s="16"/>
      <c r="DG360" s="16"/>
      <c r="DH360" s="16"/>
      <c r="DI360" s="16"/>
      <c r="DJ360" s="16"/>
      <c r="DK360" s="16"/>
      <c r="DL360" s="16"/>
      <c r="DM360" s="16"/>
      <c r="DN360" s="16"/>
      <c r="DO360" s="16"/>
      <c r="DP360" s="16"/>
      <c r="DQ360" s="16"/>
      <c r="DR360" s="16"/>
    </row>
    <row r="361" spans="98:122">
      <c r="CT361" s="16"/>
      <c r="CU361" s="16"/>
      <c r="CV361" s="16"/>
      <c r="CW361" s="16"/>
      <c r="CX361" s="16"/>
      <c r="CY361" s="16"/>
      <c r="CZ361" s="16"/>
      <c r="DA361" s="16"/>
      <c r="DB361" s="16"/>
      <c r="DC361" s="16"/>
      <c r="DD361" s="16"/>
      <c r="DE361" s="16"/>
      <c r="DF361" s="16"/>
      <c r="DG361" s="16"/>
      <c r="DH361" s="16"/>
      <c r="DI361" s="16"/>
      <c r="DJ361" s="16"/>
      <c r="DK361" s="16"/>
      <c r="DL361" s="16"/>
      <c r="DM361" s="16"/>
      <c r="DN361" s="16"/>
      <c r="DO361" s="16"/>
      <c r="DP361" s="16"/>
      <c r="DQ361" s="16"/>
      <c r="DR361" s="16"/>
    </row>
    <row r="362" spans="98:122">
      <c r="CT362" s="16"/>
      <c r="CU362" s="16"/>
      <c r="CV362" s="16"/>
      <c r="CW362" s="16"/>
      <c r="CX362" s="16"/>
      <c r="CY362" s="16"/>
      <c r="CZ362" s="16"/>
      <c r="DA362" s="16"/>
      <c r="DB362" s="16"/>
      <c r="DC362" s="16"/>
      <c r="DD362" s="16"/>
      <c r="DE362" s="16"/>
      <c r="DF362" s="16"/>
      <c r="DG362" s="16"/>
      <c r="DH362" s="16"/>
      <c r="DI362" s="16"/>
      <c r="DJ362" s="16"/>
      <c r="DK362" s="16"/>
      <c r="DL362" s="16"/>
      <c r="DM362" s="16"/>
      <c r="DN362" s="16"/>
      <c r="DO362" s="16"/>
      <c r="DP362" s="16"/>
      <c r="DQ362" s="16"/>
      <c r="DR362" s="16"/>
    </row>
    <row r="363" spans="98:122">
      <c r="CT363" s="16"/>
      <c r="CU363" s="16"/>
      <c r="CV363" s="16"/>
      <c r="CW363" s="16"/>
      <c r="CX363" s="16"/>
      <c r="CY363" s="16"/>
      <c r="CZ363" s="16"/>
      <c r="DA363" s="16"/>
      <c r="DB363" s="16"/>
      <c r="DC363" s="16"/>
      <c r="DD363" s="16"/>
      <c r="DE363" s="16"/>
      <c r="DF363" s="16"/>
      <c r="DG363" s="16"/>
      <c r="DH363" s="16"/>
      <c r="DI363" s="16"/>
      <c r="DJ363" s="16"/>
      <c r="DK363" s="16"/>
      <c r="DL363" s="16"/>
      <c r="DM363" s="16"/>
      <c r="DN363" s="16"/>
      <c r="DO363" s="16"/>
      <c r="DP363" s="16"/>
      <c r="DQ363" s="16"/>
      <c r="DR363" s="16"/>
    </row>
    <row r="364" spans="98:122">
      <c r="CT364" s="16"/>
      <c r="CU364" s="16"/>
      <c r="CV364" s="16"/>
      <c r="CW364" s="16"/>
      <c r="CX364" s="16"/>
      <c r="CY364" s="16"/>
      <c r="CZ364" s="16"/>
      <c r="DA364" s="16"/>
      <c r="DB364" s="16"/>
      <c r="DC364" s="16"/>
      <c r="DD364" s="16"/>
      <c r="DE364" s="16"/>
      <c r="DF364" s="16"/>
      <c r="DG364" s="16"/>
      <c r="DH364" s="16"/>
      <c r="DI364" s="16"/>
      <c r="DJ364" s="16"/>
      <c r="DK364" s="16"/>
      <c r="DL364" s="16"/>
      <c r="DM364" s="16"/>
      <c r="DN364" s="16"/>
      <c r="DO364" s="16"/>
      <c r="DP364" s="16"/>
      <c r="DQ364" s="16"/>
      <c r="DR364" s="16"/>
    </row>
    <row r="365" spans="98:122">
      <c r="CT365" s="16"/>
      <c r="CU365" s="16"/>
      <c r="CV365" s="16"/>
      <c r="CW365" s="16"/>
      <c r="CX365" s="16"/>
      <c r="CY365" s="16"/>
      <c r="CZ365" s="16"/>
      <c r="DA365" s="16"/>
      <c r="DB365" s="16"/>
      <c r="DC365" s="16"/>
      <c r="DD365" s="16"/>
      <c r="DE365" s="16"/>
      <c r="DF365" s="16"/>
      <c r="DG365" s="16"/>
      <c r="DH365" s="16"/>
      <c r="DI365" s="16"/>
      <c r="DJ365" s="16"/>
      <c r="DK365" s="16"/>
      <c r="DL365" s="16"/>
      <c r="DM365" s="16"/>
      <c r="DN365" s="16"/>
      <c r="DO365" s="16"/>
      <c r="DP365" s="16"/>
      <c r="DQ365" s="16"/>
      <c r="DR365" s="16"/>
    </row>
    <row r="366" spans="98:122">
      <c r="CT366" s="16"/>
      <c r="CU366" s="16"/>
      <c r="CV366" s="16"/>
      <c r="CW366" s="16"/>
      <c r="CX366" s="16"/>
      <c r="CY366" s="16"/>
      <c r="CZ366" s="16"/>
      <c r="DA366" s="16"/>
      <c r="DB366" s="16"/>
      <c r="DC366" s="16"/>
      <c r="DD366" s="16"/>
      <c r="DE366" s="16"/>
      <c r="DF366" s="16"/>
      <c r="DG366" s="16"/>
      <c r="DH366" s="16"/>
      <c r="DI366" s="16"/>
      <c r="DJ366" s="16"/>
      <c r="DK366" s="16"/>
      <c r="DL366" s="16"/>
      <c r="DM366" s="16"/>
      <c r="DN366" s="16"/>
      <c r="DO366" s="16"/>
      <c r="DP366" s="16"/>
      <c r="DQ366" s="16"/>
      <c r="DR366" s="16"/>
    </row>
    <row r="367" spans="98:122">
      <c r="CT367" s="16"/>
      <c r="CU367" s="16"/>
      <c r="CV367" s="16"/>
      <c r="CW367" s="16"/>
      <c r="CX367" s="16"/>
      <c r="CY367" s="16"/>
      <c r="CZ367" s="16"/>
      <c r="DA367" s="16"/>
      <c r="DB367" s="16"/>
      <c r="DC367" s="16"/>
      <c r="DD367" s="16"/>
      <c r="DE367" s="16"/>
      <c r="DF367" s="16"/>
      <c r="DG367" s="16"/>
      <c r="DH367" s="16"/>
      <c r="DI367" s="16"/>
      <c r="DJ367" s="16"/>
      <c r="DK367" s="16"/>
      <c r="DL367" s="16"/>
      <c r="DM367" s="16"/>
      <c r="DN367" s="16"/>
      <c r="DO367" s="16"/>
      <c r="DP367" s="16"/>
      <c r="DQ367" s="16"/>
      <c r="DR367" s="16"/>
    </row>
    <row r="368" spans="98:122">
      <c r="CT368" s="16"/>
      <c r="CU368" s="16"/>
      <c r="CV368" s="16"/>
      <c r="CW368" s="16"/>
      <c r="CX368" s="16"/>
      <c r="CY368" s="16"/>
      <c r="CZ368" s="16"/>
      <c r="DA368" s="16"/>
      <c r="DB368" s="16"/>
      <c r="DC368" s="16"/>
      <c r="DD368" s="16"/>
      <c r="DE368" s="16"/>
      <c r="DF368" s="16"/>
      <c r="DG368" s="16"/>
      <c r="DH368" s="16"/>
      <c r="DI368" s="16"/>
      <c r="DJ368" s="16"/>
      <c r="DK368" s="16"/>
      <c r="DL368" s="16"/>
      <c r="DM368" s="16"/>
      <c r="DN368" s="16"/>
      <c r="DO368" s="16"/>
      <c r="DP368" s="16"/>
      <c r="DQ368" s="16"/>
      <c r="DR368" s="16"/>
    </row>
    <row r="369" spans="98:122">
      <c r="CT369" s="16"/>
      <c r="CU369" s="16"/>
      <c r="CV369" s="16"/>
      <c r="CW369" s="16"/>
      <c r="CX369" s="16"/>
      <c r="CY369" s="16"/>
      <c r="CZ369" s="16"/>
      <c r="DA369" s="16"/>
      <c r="DB369" s="16"/>
      <c r="DC369" s="16"/>
      <c r="DD369" s="16"/>
      <c r="DE369" s="16"/>
      <c r="DF369" s="16"/>
      <c r="DG369" s="16"/>
      <c r="DH369" s="16"/>
      <c r="DI369" s="16"/>
      <c r="DJ369" s="16"/>
      <c r="DK369" s="16"/>
      <c r="DL369" s="16"/>
      <c r="DM369" s="16"/>
      <c r="DN369" s="16"/>
      <c r="DO369" s="16"/>
      <c r="DP369" s="16"/>
      <c r="DQ369" s="16"/>
      <c r="DR369" s="16"/>
    </row>
    <row r="370" spans="98:122">
      <c r="CT370" s="16"/>
      <c r="CU370" s="16"/>
      <c r="CV370" s="16"/>
      <c r="CW370" s="16"/>
      <c r="CX370" s="16"/>
      <c r="CY370" s="16"/>
      <c r="CZ370" s="16"/>
      <c r="DA370" s="16"/>
      <c r="DB370" s="16"/>
      <c r="DC370" s="16"/>
      <c r="DD370" s="16"/>
      <c r="DE370" s="16"/>
      <c r="DF370" s="16"/>
      <c r="DG370" s="16"/>
      <c r="DH370" s="16"/>
      <c r="DI370" s="16"/>
      <c r="DJ370" s="16"/>
      <c r="DK370" s="16"/>
      <c r="DL370" s="16"/>
      <c r="DM370" s="16"/>
      <c r="DN370" s="16"/>
      <c r="DO370" s="16"/>
      <c r="DP370" s="16"/>
      <c r="DQ370" s="16"/>
      <c r="DR370" s="16"/>
    </row>
    <row r="371" spans="98:122">
      <c r="CT371" s="16"/>
      <c r="CU371" s="16"/>
      <c r="CV371" s="16"/>
      <c r="CW371" s="16"/>
      <c r="CX371" s="16"/>
      <c r="CY371" s="16"/>
      <c r="CZ371" s="16"/>
      <c r="DA371" s="16"/>
      <c r="DB371" s="16"/>
      <c r="DC371" s="16"/>
      <c r="DD371" s="16"/>
      <c r="DE371" s="16"/>
      <c r="DF371" s="16"/>
      <c r="DG371" s="16"/>
      <c r="DH371" s="16"/>
      <c r="DI371" s="16"/>
      <c r="DJ371" s="16"/>
      <c r="DK371" s="16"/>
      <c r="DL371" s="16"/>
      <c r="DM371" s="16"/>
      <c r="DN371" s="16"/>
      <c r="DO371" s="16"/>
      <c r="DP371" s="16"/>
      <c r="DQ371" s="16"/>
      <c r="DR371" s="16"/>
    </row>
    <row r="372" spans="98:122">
      <c r="CT372" s="16"/>
      <c r="CU372" s="16"/>
      <c r="CV372" s="16"/>
      <c r="CW372" s="16"/>
      <c r="CX372" s="16"/>
      <c r="CY372" s="16"/>
      <c r="CZ372" s="16"/>
      <c r="DA372" s="16"/>
      <c r="DB372" s="16"/>
      <c r="DC372" s="16"/>
      <c r="DD372" s="16"/>
      <c r="DE372" s="16"/>
      <c r="DF372" s="16"/>
      <c r="DG372" s="16"/>
      <c r="DH372" s="16"/>
      <c r="DI372" s="16"/>
      <c r="DJ372" s="16"/>
      <c r="DK372" s="16"/>
      <c r="DL372" s="16"/>
      <c r="DM372" s="16"/>
      <c r="DN372" s="16"/>
      <c r="DO372" s="16"/>
      <c r="DP372" s="16"/>
      <c r="DQ372" s="16"/>
      <c r="DR372" s="16"/>
    </row>
    <row r="373" spans="98:122">
      <c r="CT373" s="16"/>
      <c r="CU373" s="16"/>
      <c r="CV373" s="16"/>
      <c r="CW373" s="16"/>
      <c r="CX373" s="16"/>
      <c r="CY373" s="16"/>
      <c r="CZ373" s="16"/>
      <c r="DA373" s="16"/>
      <c r="DB373" s="16"/>
      <c r="DC373" s="16"/>
      <c r="DD373" s="16"/>
      <c r="DE373" s="16"/>
      <c r="DF373" s="16"/>
      <c r="DG373" s="16"/>
      <c r="DH373" s="16"/>
      <c r="DI373" s="16"/>
      <c r="DJ373" s="16"/>
      <c r="DK373" s="16"/>
      <c r="DL373" s="16"/>
      <c r="DM373" s="16"/>
      <c r="DN373" s="16"/>
      <c r="DO373" s="16"/>
      <c r="DP373" s="16"/>
      <c r="DQ373" s="16"/>
      <c r="DR373" s="16"/>
    </row>
    <row r="374" spans="98:122">
      <c r="CT374" s="16"/>
      <c r="CU374" s="16"/>
      <c r="CV374" s="16"/>
      <c r="CW374" s="16"/>
      <c r="CX374" s="16"/>
      <c r="CY374" s="16"/>
      <c r="CZ374" s="16"/>
      <c r="DA374" s="16"/>
      <c r="DB374" s="16"/>
      <c r="DC374" s="16"/>
      <c r="DD374" s="16"/>
      <c r="DE374" s="16"/>
      <c r="DF374" s="16"/>
      <c r="DG374" s="16"/>
      <c r="DH374" s="16"/>
      <c r="DI374" s="16"/>
      <c r="DJ374" s="16"/>
      <c r="DK374" s="16"/>
      <c r="DL374" s="16"/>
      <c r="DM374" s="16"/>
      <c r="DN374" s="16"/>
      <c r="DO374" s="16"/>
      <c r="DP374" s="16"/>
      <c r="DQ374" s="16"/>
      <c r="DR374" s="16"/>
    </row>
    <row r="375" spans="98:122">
      <c r="CT375" s="15"/>
      <c r="CU375" s="15"/>
      <c r="CV375" s="15"/>
      <c r="CW375" s="15"/>
      <c r="CX375" s="15"/>
      <c r="CY375" s="15"/>
      <c r="CZ375" s="15"/>
      <c r="DA375" s="15"/>
      <c r="DB375" s="15"/>
      <c r="DC375" s="15"/>
      <c r="DD375" s="15"/>
      <c r="DE375" s="15"/>
      <c r="DF375" s="15"/>
      <c r="DG375" s="15"/>
      <c r="DH375" s="15"/>
      <c r="DI375" s="15"/>
      <c r="DJ375" s="15"/>
      <c r="DK375" s="15"/>
      <c r="DL375" s="15"/>
      <c r="DM375" s="15"/>
      <c r="DN375" s="15"/>
      <c r="DO375" s="15"/>
      <c r="DP375" s="15"/>
      <c r="DQ375" s="15"/>
      <c r="DR375" s="15"/>
    </row>
    <row r="376" spans="98:122">
      <c r="CT376" s="15"/>
      <c r="CU376" s="15"/>
      <c r="CV376" s="15"/>
      <c r="CW376" s="15"/>
      <c r="CX376" s="15"/>
      <c r="CY376" s="15"/>
      <c r="CZ376" s="15"/>
      <c r="DA376" s="15"/>
      <c r="DB376" s="15"/>
      <c r="DC376" s="15"/>
      <c r="DD376" s="15"/>
      <c r="DE376" s="15"/>
      <c r="DF376" s="15"/>
      <c r="DG376" s="15"/>
      <c r="DH376" s="15"/>
      <c r="DI376" s="15"/>
      <c r="DJ376" s="15"/>
      <c r="DK376" s="15"/>
      <c r="DL376" s="15"/>
      <c r="DM376" s="15"/>
      <c r="DN376" s="15"/>
      <c r="DO376" s="15"/>
      <c r="DP376" s="15"/>
      <c r="DQ376" s="15"/>
      <c r="DR376" s="15"/>
    </row>
    <row r="377" spans="98:122">
      <c r="CT377" s="15"/>
      <c r="CU377" s="15"/>
      <c r="CV377" s="15"/>
      <c r="CW377" s="15"/>
      <c r="CX377" s="15"/>
      <c r="CY377" s="15"/>
      <c r="CZ377" s="15"/>
      <c r="DA377" s="15"/>
      <c r="DB377" s="15"/>
      <c r="DC377" s="15"/>
      <c r="DD377" s="15"/>
      <c r="DE377" s="15"/>
      <c r="DF377" s="15"/>
      <c r="DG377" s="15"/>
      <c r="DH377" s="15"/>
      <c r="DI377" s="15"/>
      <c r="DJ377" s="15"/>
      <c r="DK377" s="15"/>
      <c r="DL377" s="15"/>
      <c r="DM377" s="15"/>
      <c r="DN377" s="15"/>
      <c r="DO377" s="15"/>
      <c r="DP377" s="15"/>
      <c r="DQ377" s="15"/>
      <c r="DR377" s="15"/>
    </row>
    <row r="378" spans="98:122">
      <c r="CT378" s="15"/>
      <c r="CU378" s="15"/>
      <c r="CV378" s="15"/>
      <c r="CW378" s="15"/>
      <c r="CX378" s="15"/>
      <c r="CY378" s="15"/>
      <c r="CZ378" s="15"/>
      <c r="DA378" s="15"/>
      <c r="DB378" s="15"/>
      <c r="DC378" s="15"/>
      <c r="DD378" s="15"/>
      <c r="DE378" s="15"/>
      <c r="DF378" s="15"/>
      <c r="DG378" s="15"/>
      <c r="DH378" s="15"/>
      <c r="DI378" s="15"/>
      <c r="DJ378" s="15"/>
      <c r="DK378" s="15"/>
      <c r="DL378" s="15"/>
      <c r="DM378" s="15"/>
      <c r="DN378" s="15"/>
      <c r="DO378" s="15"/>
      <c r="DP378" s="15"/>
      <c r="DQ378" s="15"/>
      <c r="DR378" s="15"/>
    </row>
    <row r="379" spans="98:122">
      <c r="CT379" s="15"/>
      <c r="CU379" s="15"/>
      <c r="CV379" s="15"/>
      <c r="CW379" s="15"/>
      <c r="CX379" s="15"/>
      <c r="CY379" s="15"/>
      <c r="CZ379" s="15"/>
      <c r="DA379" s="15"/>
      <c r="DB379" s="15"/>
      <c r="DC379" s="15"/>
      <c r="DD379" s="15"/>
      <c r="DE379" s="15"/>
      <c r="DF379" s="15"/>
      <c r="DG379" s="15"/>
      <c r="DH379" s="15"/>
      <c r="DI379" s="15"/>
      <c r="DJ379" s="15"/>
      <c r="DK379" s="15"/>
      <c r="DL379" s="15"/>
      <c r="DM379" s="15"/>
      <c r="DN379" s="15"/>
      <c r="DO379" s="15"/>
      <c r="DP379" s="15"/>
      <c r="DQ379" s="15"/>
      <c r="DR379" s="15"/>
    </row>
    <row r="380" spans="98:122">
      <c r="CT380" s="15"/>
      <c r="CU380" s="15"/>
      <c r="CV380" s="15"/>
      <c r="CW380" s="15"/>
      <c r="CX380" s="15"/>
      <c r="CY380" s="15"/>
      <c r="CZ380" s="15"/>
      <c r="DA380" s="15"/>
      <c r="DB380" s="15"/>
      <c r="DC380" s="15"/>
      <c r="DD380" s="15"/>
      <c r="DE380" s="15"/>
      <c r="DF380" s="15"/>
      <c r="DG380" s="15"/>
      <c r="DH380" s="15"/>
      <c r="DI380" s="15"/>
      <c r="DJ380" s="15"/>
      <c r="DK380" s="15"/>
      <c r="DL380" s="15"/>
      <c r="DM380" s="15"/>
      <c r="DN380" s="15"/>
      <c r="DO380" s="15"/>
      <c r="DP380" s="15"/>
      <c r="DQ380" s="15"/>
      <c r="DR380" s="15"/>
    </row>
    <row r="381" spans="98:122">
      <c r="CT381" s="15"/>
      <c r="CU381" s="15"/>
      <c r="CV381" s="15"/>
      <c r="CW381" s="15"/>
      <c r="CX381" s="15"/>
      <c r="CY381" s="15"/>
      <c r="CZ381" s="15"/>
      <c r="DA381" s="15"/>
      <c r="DB381" s="15"/>
      <c r="DC381" s="15"/>
      <c r="DD381" s="15"/>
      <c r="DE381" s="15"/>
      <c r="DF381" s="15"/>
      <c r="DG381" s="15"/>
      <c r="DH381" s="15"/>
      <c r="DI381" s="15"/>
      <c r="DJ381" s="15"/>
      <c r="DK381" s="15"/>
      <c r="DL381" s="15"/>
      <c r="DM381" s="15"/>
      <c r="DN381" s="15"/>
      <c r="DO381" s="15"/>
      <c r="DP381" s="15"/>
      <c r="DQ381" s="15"/>
      <c r="DR381" s="15"/>
    </row>
    <row r="382" spans="98:122">
      <c r="CT382" s="15"/>
      <c r="CU382" s="15"/>
      <c r="CV382" s="15"/>
      <c r="CW382" s="15"/>
      <c r="CX382" s="15"/>
      <c r="CY382" s="15"/>
      <c r="CZ382" s="15"/>
      <c r="DA382" s="15"/>
      <c r="DB382" s="15"/>
      <c r="DC382" s="15"/>
      <c r="DD382" s="15"/>
      <c r="DE382" s="15"/>
      <c r="DF382" s="15"/>
      <c r="DG382" s="15"/>
      <c r="DH382" s="15"/>
      <c r="DI382" s="15"/>
      <c r="DJ382" s="15"/>
      <c r="DK382" s="15"/>
      <c r="DL382" s="15"/>
      <c r="DM382" s="15"/>
      <c r="DN382" s="15"/>
      <c r="DO382" s="15"/>
      <c r="DP382" s="15"/>
      <c r="DQ382" s="15"/>
      <c r="DR382" s="15"/>
    </row>
    <row r="383" spans="98:122">
      <c r="CT383" s="15"/>
      <c r="CU383" s="15"/>
      <c r="CV383" s="15"/>
      <c r="CW383" s="15"/>
      <c r="CX383" s="15"/>
      <c r="CY383" s="15"/>
      <c r="CZ383" s="15"/>
      <c r="DA383" s="15"/>
      <c r="DB383" s="15"/>
      <c r="DC383" s="15"/>
      <c r="DD383" s="15"/>
      <c r="DE383" s="15"/>
      <c r="DF383" s="15"/>
      <c r="DG383" s="15"/>
      <c r="DH383" s="15"/>
      <c r="DI383" s="15"/>
      <c r="DJ383" s="15"/>
      <c r="DK383" s="15"/>
      <c r="DL383" s="15"/>
      <c r="DM383" s="15"/>
      <c r="DN383" s="15"/>
      <c r="DO383" s="15"/>
      <c r="DP383" s="15"/>
      <c r="DQ383" s="15"/>
      <c r="DR383" s="15"/>
    </row>
    <row r="384" spans="98:122">
      <c r="CT384" s="15"/>
      <c r="CU384" s="15"/>
      <c r="CV384" s="15"/>
      <c r="CW384" s="15"/>
      <c r="CX384" s="15"/>
      <c r="CY384" s="15"/>
      <c r="CZ384" s="15"/>
      <c r="DA384" s="15"/>
      <c r="DB384" s="15"/>
      <c r="DC384" s="15"/>
      <c r="DD384" s="15"/>
      <c r="DE384" s="15"/>
      <c r="DF384" s="15"/>
      <c r="DG384" s="15"/>
      <c r="DH384" s="15"/>
      <c r="DI384" s="15"/>
      <c r="DJ384" s="15"/>
      <c r="DK384" s="15"/>
      <c r="DL384" s="15"/>
      <c r="DM384" s="15"/>
      <c r="DN384" s="15"/>
      <c r="DO384" s="15"/>
      <c r="DP384" s="15"/>
      <c r="DQ384" s="15"/>
      <c r="DR384" s="15"/>
    </row>
    <row r="385" spans="98:122">
      <c r="CT385" s="16"/>
      <c r="CU385" s="16"/>
      <c r="CV385" s="16"/>
      <c r="CW385" s="16"/>
      <c r="CX385" s="16"/>
      <c r="CY385" s="16"/>
      <c r="CZ385" s="16"/>
      <c r="DA385" s="16"/>
      <c r="DB385" s="16"/>
      <c r="DC385" s="16"/>
      <c r="DD385" s="16"/>
      <c r="DE385" s="16"/>
      <c r="DF385" s="16"/>
      <c r="DG385" s="16"/>
      <c r="DH385" s="16"/>
      <c r="DI385" s="16"/>
      <c r="DJ385" s="16"/>
      <c r="DK385" s="16"/>
      <c r="DL385" s="16"/>
      <c r="DM385" s="16"/>
      <c r="DN385" s="16"/>
      <c r="DO385" s="16"/>
      <c r="DP385" s="16"/>
      <c r="DQ385" s="16"/>
      <c r="DR385" s="16"/>
    </row>
    <row r="386" spans="98:122">
      <c r="CT386" s="16"/>
      <c r="CU386" s="16"/>
      <c r="CV386" s="16"/>
      <c r="CW386" s="16"/>
      <c r="CX386" s="16"/>
      <c r="CY386" s="16"/>
      <c r="CZ386" s="16"/>
      <c r="DA386" s="16"/>
      <c r="DB386" s="16"/>
      <c r="DC386" s="16"/>
      <c r="DD386" s="16"/>
      <c r="DE386" s="16"/>
      <c r="DF386" s="16"/>
      <c r="DG386" s="16"/>
      <c r="DH386" s="16"/>
      <c r="DI386" s="16"/>
      <c r="DJ386" s="16"/>
      <c r="DK386" s="16"/>
      <c r="DL386" s="16"/>
      <c r="DM386" s="16"/>
      <c r="DN386" s="16"/>
      <c r="DO386" s="16"/>
      <c r="DP386" s="16"/>
      <c r="DQ386" s="16"/>
      <c r="DR386" s="16"/>
    </row>
    <row r="387" spans="98:122">
      <c r="CT387" s="16"/>
      <c r="CU387" s="16"/>
      <c r="CV387" s="16"/>
      <c r="CW387" s="16"/>
      <c r="CX387" s="16"/>
      <c r="CY387" s="16"/>
      <c r="CZ387" s="16"/>
      <c r="DA387" s="16"/>
      <c r="DB387" s="16"/>
      <c r="DC387" s="16"/>
      <c r="DD387" s="16"/>
      <c r="DE387" s="16"/>
      <c r="DF387" s="16"/>
      <c r="DG387" s="16"/>
      <c r="DH387" s="16"/>
      <c r="DI387" s="16"/>
      <c r="DJ387" s="16"/>
      <c r="DK387" s="16"/>
      <c r="DL387" s="16"/>
      <c r="DM387" s="16"/>
      <c r="DN387" s="16"/>
      <c r="DO387" s="16"/>
      <c r="DP387" s="16"/>
      <c r="DQ387" s="16"/>
      <c r="DR387" s="16"/>
    </row>
    <row r="388" spans="98:122">
      <c r="CT388" s="16"/>
      <c r="CU388" s="16"/>
      <c r="CV388" s="16"/>
      <c r="CW388" s="16"/>
      <c r="CX388" s="16"/>
      <c r="CY388" s="16"/>
      <c r="CZ388" s="16"/>
      <c r="DA388" s="16"/>
      <c r="DB388" s="16"/>
      <c r="DC388" s="16"/>
      <c r="DD388" s="16"/>
      <c r="DE388" s="16"/>
      <c r="DF388" s="16"/>
      <c r="DG388" s="16"/>
      <c r="DH388" s="16"/>
      <c r="DI388" s="16"/>
      <c r="DJ388" s="16"/>
      <c r="DK388" s="16"/>
      <c r="DL388" s="16"/>
      <c r="DM388" s="16"/>
      <c r="DN388" s="16"/>
      <c r="DO388" s="16"/>
      <c r="DP388" s="16"/>
      <c r="DQ388" s="16"/>
      <c r="DR388" s="16"/>
    </row>
  </sheetData>
  <sheetProtection sheet="1" objects="1" scenarios="1" selectLockedCells="1"/>
  <mergeCells count="345">
    <mergeCell ref="AT64:AX64"/>
    <mergeCell ref="AY64:AZ64"/>
    <mergeCell ref="BA64:BB64"/>
    <mergeCell ref="BC64:BD64"/>
    <mergeCell ref="AT99:AX99"/>
    <mergeCell ref="AY99:AZ99"/>
    <mergeCell ref="BA99:BB99"/>
    <mergeCell ref="BC99:BD99"/>
    <mergeCell ref="AT20:AX20"/>
    <mergeCell ref="AT21:AX21"/>
    <mergeCell ref="AT22:AX22"/>
    <mergeCell ref="AY20:AZ20"/>
    <mergeCell ref="AY21:AZ21"/>
    <mergeCell ref="AY22:AZ22"/>
    <mergeCell ref="BA20:BB20"/>
    <mergeCell ref="BA21:BB21"/>
    <mergeCell ref="BA22:BB22"/>
    <mergeCell ref="BC20:BD20"/>
    <mergeCell ref="BC21:BD21"/>
    <mergeCell ref="BC22:BD22"/>
    <mergeCell ref="AT97:AX97"/>
    <mergeCell ref="AY97:AZ97"/>
    <mergeCell ref="BA97:BB97"/>
    <mergeCell ref="BC97:BD97"/>
    <mergeCell ref="AT95:AX95"/>
    <mergeCell ref="AY95:AZ95"/>
    <mergeCell ref="BA95:BB95"/>
    <mergeCell ref="BC95:BD95"/>
    <mergeCell ref="AT96:AX96"/>
    <mergeCell ref="AY96:AZ96"/>
    <mergeCell ref="BA96:BB96"/>
    <mergeCell ref="BC96:BD96"/>
    <mergeCell ref="AT93:AX93"/>
    <mergeCell ref="AY93:AZ93"/>
    <mergeCell ref="BA93:BB93"/>
    <mergeCell ref="BC93:BD93"/>
    <mergeCell ref="AT94:AX94"/>
    <mergeCell ref="AY94:AZ94"/>
    <mergeCell ref="BA94:BB94"/>
    <mergeCell ref="BC94:BD94"/>
    <mergeCell ref="AT90:AX90"/>
    <mergeCell ref="AY90:AZ90"/>
    <mergeCell ref="BA90:BB90"/>
    <mergeCell ref="BC90:BD90"/>
    <mergeCell ref="AT92:AX92"/>
    <mergeCell ref="AY92:AZ92"/>
    <mergeCell ref="BA92:BB92"/>
    <mergeCell ref="BC92:BD92"/>
    <mergeCell ref="AT87:AX87"/>
    <mergeCell ref="AY87:AZ87"/>
    <mergeCell ref="BA87:BB87"/>
    <mergeCell ref="BC87:BD87"/>
    <mergeCell ref="AT88:AX88"/>
    <mergeCell ref="AY88:AZ88"/>
    <mergeCell ref="BA88:BB88"/>
    <mergeCell ref="BC88:BD88"/>
    <mergeCell ref="AT85:AX85"/>
    <mergeCell ref="AY85:AZ85"/>
    <mergeCell ref="BA85:BB85"/>
    <mergeCell ref="BC85:BD85"/>
    <mergeCell ref="AT86:AX86"/>
    <mergeCell ref="AY86:AZ86"/>
    <mergeCell ref="BA86:BB86"/>
    <mergeCell ref="BC86:BD86"/>
    <mergeCell ref="AT83:AX83"/>
    <mergeCell ref="AY83:AZ83"/>
    <mergeCell ref="BA83:BB83"/>
    <mergeCell ref="BC83:BD83"/>
    <mergeCell ref="AT84:AX84"/>
    <mergeCell ref="AY84:AZ84"/>
    <mergeCell ref="BA84:BB84"/>
    <mergeCell ref="BC84:BD84"/>
    <mergeCell ref="AT81:AX81"/>
    <mergeCell ref="AY81:AZ81"/>
    <mergeCell ref="BA81:BB81"/>
    <mergeCell ref="BC81:BD81"/>
    <mergeCell ref="AT82:AX82"/>
    <mergeCell ref="AY82:AZ82"/>
    <mergeCell ref="BA82:BB82"/>
    <mergeCell ref="BC82:BD82"/>
    <mergeCell ref="AT78:AX78"/>
    <mergeCell ref="AY78:AZ78"/>
    <mergeCell ref="BA78:BB78"/>
    <mergeCell ref="BC78:BD78"/>
    <mergeCell ref="AT79:AX79"/>
    <mergeCell ref="AY79:AZ79"/>
    <mergeCell ref="BA79:BB79"/>
    <mergeCell ref="BC79:BD79"/>
    <mergeCell ref="AT76:AX76"/>
    <mergeCell ref="AY76:AZ76"/>
    <mergeCell ref="BA76:BB76"/>
    <mergeCell ref="BC76:BD76"/>
    <mergeCell ref="AT77:AX77"/>
    <mergeCell ref="AY77:AZ77"/>
    <mergeCell ref="BA77:BB77"/>
    <mergeCell ref="BC77:BD77"/>
    <mergeCell ref="AT74:AX74"/>
    <mergeCell ref="AY74:AZ74"/>
    <mergeCell ref="BA74:BB74"/>
    <mergeCell ref="BC74:BD74"/>
    <mergeCell ref="AT75:AX75"/>
    <mergeCell ref="AY75:AZ75"/>
    <mergeCell ref="BA75:BB75"/>
    <mergeCell ref="BC75:BD75"/>
    <mergeCell ref="AT72:AX72"/>
    <mergeCell ref="AY72:AZ72"/>
    <mergeCell ref="BA72:BB72"/>
    <mergeCell ref="BC72:BD72"/>
    <mergeCell ref="AT73:AX73"/>
    <mergeCell ref="AY73:AZ73"/>
    <mergeCell ref="BA73:BB73"/>
    <mergeCell ref="BC73:BD73"/>
    <mergeCell ref="AT70:AX70"/>
    <mergeCell ref="AY70:AZ70"/>
    <mergeCell ref="BA70:BB70"/>
    <mergeCell ref="BC70:BD70"/>
    <mergeCell ref="AT71:AX71"/>
    <mergeCell ref="AY71:AZ71"/>
    <mergeCell ref="BA71:BB71"/>
    <mergeCell ref="BC71:BD71"/>
    <mergeCell ref="AT68:AX68"/>
    <mergeCell ref="AY68:AZ68"/>
    <mergeCell ref="BA68:BB68"/>
    <mergeCell ref="BC68:BD68"/>
    <mergeCell ref="AT69:AX69"/>
    <mergeCell ref="AY69:AZ69"/>
    <mergeCell ref="BA69:BB69"/>
    <mergeCell ref="BC69:BD69"/>
    <mergeCell ref="AT65:AX65"/>
    <mergeCell ref="AY65:AZ65"/>
    <mergeCell ref="BA65:BB65"/>
    <mergeCell ref="BC65:BD65"/>
    <mergeCell ref="AT67:AX67"/>
    <mergeCell ref="AY67:AZ67"/>
    <mergeCell ref="BA67:BB67"/>
    <mergeCell ref="BC67:BD67"/>
    <mergeCell ref="AT62:AX62"/>
    <mergeCell ref="AY62:AZ62"/>
    <mergeCell ref="BA62:BB62"/>
    <mergeCell ref="BC62:BD62"/>
    <mergeCell ref="AT63:AX63"/>
    <mergeCell ref="AY63:AZ63"/>
    <mergeCell ref="BA63:BB63"/>
    <mergeCell ref="BC63:BD63"/>
    <mergeCell ref="AT60:AX60"/>
    <mergeCell ref="AY60:AZ60"/>
    <mergeCell ref="BA60:BB60"/>
    <mergeCell ref="BC60:BD60"/>
    <mergeCell ref="AT61:AX61"/>
    <mergeCell ref="AY61:AZ61"/>
    <mergeCell ref="BA61:BB61"/>
    <mergeCell ref="BC61:BD61"/>
    <mergeCell ref="AT58:AX58"/>
    <mergeCell ref="AY58:AZ58"/>
    <mergeCell ref="BA58:BB58"/>
    <mergeCell ref="BC58:BD58"/>
    <mergeCell ref="AT59:AX59"/>
    <mergeCell ref="AY59:AZ59"/>
    <mergeCell ref="BA59:BB59"/>
    <mergeCell ref="BC59:BD59"/>
    <mergeCell ref="AT56:AX56"/>
    <mergeCell ref="AY56:AZ56"/>
    <mergeCell ref="BA56:BB56"/>
    <mergeCell ref="BC56:BD56"/>
    <mergeCell ref="AT57:AX57"/>
    <mergeCell ref="AY57:AZ57"/>
    <mergeCell ref="BA57:BB57"/>
    <mergeCell ref="BC57:BD57"/>
    <mergeCell ref="AT54:AX54"/>
    <mergeCell ref="AY54:AZ54"/>
    <mergeCell ref="BA54:BB54"/>
    <mergeCell ref="BC54:BD54"/>
    <mergeCell ref="AT55:AX55"/>
    <mergeCell ref="AY55:AZ55"/>
    <mergeCell ref="BA55:BB55"/>
    <mergeCell ref="BC55:BD55"/>
    <mergeCell ref="AT52:AX52"/>
    <mergeCell ref="AY52:AZ52"/>
    <mergeCell ref="BA52:BB52"/>
    <mergeCell ref="BC52:BD52"/>
    <mergeCell ref="AT50:AX50"/>
    <mergeCell ref="AY50:AZ50"/>
    <mergeCell ref="BA50:BB50"/>
    <mergeCell ref="BC50:BD50"/>
    <mergeCell ref="AT51:AX51"/>
    <mergeCell ref="AY51:AZ51"/>
    <mergeCell ref="BA51:BB51"/>
    <mergeCell ref="BC51:BD51"/>
    <mergeCell ref="AT48:AX48"/>
    <mergeCell ref="AY48:AZ48"/>
    <mergeCell ref="BA48:BB48"/>
    <mergeCell ref="BC48:BD48"/>
    <mergeCell ref="AT49:AX49"/>
    <mergeCell ref="AY49:AZ49"/>
    <mergeCell ref="BA49:BB49"/>
    <mergeCell ref="BC49:BD49"/>
    <mergeCell ref="AT46:AX46"/>
    <mergeCell ref="AY46:AZ46"/>
    <mergeCell ref="BA46:BB46"/>
    <mergeCell ref="BC46:BD46"/>
    <mergeCell ref="AT47:AX47"/>
    <mergeCell ref="AY47:AZ47"/>
    <mergeCell ref="BA47:BB47"/>
    <mergeCell ref="BC47:BD47"/>
    <mergeCell ref="AT44:AX44"/>
    <mergeCell ref="AY44:AZ44"/>
    <mergeCell ref="BA44:BB44"/>
    <mergeCell ref="BC44:BD44"/>
    <mergeCell ref="AT45:AX45"/>
    <mergeCell ref="AY45:AZ45"/>
    <mergeCell ref="BA45:BB45"/>
    <mergeCell ref="BC45:BD45"/>
    <mergeCell ref="AT42:AX42"/>
    <mergeCell ref="AY42:AZ42"/>
    <mergeCell ref="BA42:BB42"/>
    <mergeCell ref="BC42:BD42"/>
    <mergeCell ref="AT43:AX43"/>
    <mergeCell ref="AY43:AZ43"/>
    <mergeCell ref="BA43:BB43"/>
    <mergeCell ref="BC43:BD43"/>
    <mergeCell ref="AT40:AX40"/>
    <mergeCell ref="AY40:AZ40"/>
    <mergeCell ref="BA40:BB40"/>
    <mergeCell ref="BC40:BD40"/>
    <mergeCell ref="AT41:AX41"/>
    <mergeCell ref="AY41:AZ41"/>
    <mergeCell ref="BA41:BB41"/>
    <mergeCell ref="BC41:BD41"/>
    <mergeCell ref="AT38:AX38"/>
    <mergeCell ref="AY38:AZ38"/>
    <mergeCell ref="BA38:BB38"/>
    <mergeCell ref="BC38:BD38"/>
    <mergeCell ref="AT39:AX39"/>
    <mergeCell ref="AY39:AZ39"/>
    <mergeCell ref="BA39:BB39"/>
    <mergeCell ref="BC39:BD39"/>
    <mergeCell ref="AT36:AX36"/>
    <mergeCell ref="AY36:AZ36"/>
    <mergeCell ref="BA36:BB36"/>
    <mergeCell ref="BC36:BD36"/>
    <mergeCell ref="AT37:AX37"/>
    <mergeCell ref="AY37:AZ37"/>
    <mergeCell ref="BA37:BB37"/>
    <mergeCell ref="BC37:BD37"/>
    <mergeCell ref="AT34:AX34"/>
    <mergeCell ref="AY34:AZ34"/>
    <mergeCell ref="BA34:BB34"/>
    <mergeCell ref="BC34:BD34"/>
    <mergeCell ref="AT35:AX35"/>
    <mergeCell ref="AY35:AZ35"/>
    <mergeCell ref="BA35:BB35"/>
    <mergeCell ref="BC35:BD35"/>
    <mergeCell ref="AT32:AX32"/>
    <mergeCell ref="AY32:AZ32"/>
    <mergeCell ref="BA32:BB32"/>
    <mergeCell ref="BC32:BD32"/>
    <mergeCell ref="AT33:AX33"/>
    <mergeCell ref="AY33:AZ33"/>
    <mergeCell ref="BA33:BB33"/>
    <mergeCell ref="BC33:BD33"/>
    <mergeCell ref="AT30:AX30"/>
    <mergeCell ref="AY30:AZ30"/>
    <mergeCell ref="BA30:BB30"/>
    <mergeCell ref="BC30:BD30"/>
    <mergeCell ref="AT31:AX31"/>
    <mergeCell ref="AY31:AZ31"/>
    <mergeCell ref="BA31:BB31"/>
    <mergeCell ref="BC31:BD31"/>
    <mergeCell ref="AT28:AX28"/>
    <mergeCell ref="AY28:AZ28"/>
    <mergeCell ref="BA28:BB28"/>
    <mergeCell ref="BC28:BD28"/>
    <mergeCell ref="AT29:AX29"/>
    <mergeCell ref="AY29:AZ29"/>
    <mergeCell ref="BA29:BB29"/>
    <mergeCell ref="BC29:BD29"/>
    <mergeCell ref="AT25:AX25"/>
    <mergeCell ref="AY25:AZ25"/>
    <mergeCell ref="BA25:BB25"/>
    <mergeCell ref="BC25:BD25"/>
    <mergeCell ref="AT27:AX27"/>
    <mergeCell ref="AY27:AZ27"/>
    <mergeCell ref="BA27:BB27"/>
    <mergeCell ref="BC27:BD27"/>
    <mergeCell ref="AT23:AX23"/>
    <mergeCell ref="AY23:AZ23"/>
    <mergeCell ref="BA23:BB23"/>
    <mergeCell ref="BC23:BD23"/>
    <mergeCell ref="AT24:AX24"/>
    <mergeCell ref="AY24:AZ24"/>
    <mergeCell ref="BA24:BB24"/>
    <mergeCell ref="BC24:BD24"/>
    <mergeCell ref="AT18:AX18"/>
    <mergeCell ref="AY18:AZ18"/>
    <mergeCell ref="BA18:BB18"/>
    <mergeCell ref="BC18:BD18"/>
    <mergeCell ref="AT19:AX19"/>
    <mergeCell ref="AY19:AZ19"/>
    <mergeCell ref="BA19:BB19"/>
    <mergeCell ref="BC19:BD19"/>
    <mergeCell ref="AT16:AX16"/>
    <mergeCell ref="AY16:AZ16"/>
    <mergeCell ref="BA16:BB16"/>
    <mergeCell ref="BC16:BD16"/>
    <mergeCell ref="AT17:AX17"/>
    <mergeCell ref="AY17:AZ17"/>
    <mergeCell ref="BA17:BB17"/>
    <mergeCell ref="BC17:BD17"/>
    <mergeCell ref="BC14:BD14"/>
    <mergeCell ref="AT15:AX15"/>
    <mergeCell ref="AY15:AZ15"/>
    <mergeCell ref="BA15:BB15"/>
    <mergeCell ref="BC15:BD15"/>
    <mergeCell ref="AT12:AX12"/>
    <mergeCell ref="AY12:AZ12"/>
    <mergeCell ref="BA12:BB12"/>
    <mergeCell ref="BC12:BD12"/>
    <mergeCell ref="AT13:AX13"/>
    <mergeCell ref="AY13:AZ13"/>
    <mergeCell ref="BA13:BB13"/>
    <mergeCell ref="BC13:BD13"/>
    <mergeCell ref="AK1:AL1"/>
    <mergeCell ref="D17:F20"/>
    <mergeCell ref="AJ18:AO18"/>
    <mergeCell ref="AM8:AR8"/>
    <mergeCell ref="AM5:AP5"/>
    <mergeCell ref="AT10:AX10"/>
    <mergeCell ref="AY10:AZ10"/>
    <mergeCell ref="BA10:BB10"/>
    <mergeCell ref="BC10:BD10"/>
    <mergeCell ref="AT11:AX11"/>
    <mergeCell ref="AY11:AZ11"/>
    <mergeCell ref="BA11:BB11"/>
    <mergeCell ref="BC11:BD11"/>
    <mergeCell ref="AT8:AX8"/>
    <mergeCell ref="AY8:AZ8"/>
    <mergeCell ref="BA8:BB8"/>
    <mergeCell ref="BC8:BD8"/>
    <mergeCell ref="AT9:AX9"/>
    <mergeCell ref="AY9:AZ9"/>
    <mergeCell ref="BA9:BB9"/>
    <mergeCell ref="BC9:BD9"/>
    <mergeCell ref="AT14:AX14"/>
    <mergeCell ref="AY14:AZ14"/>
    <mergeCell ref="BA14:BB14"/>
  </mergeCells>
  <phoneticPr fontId="59" type="noConversion"/>
  <dataValidations xWindow="29" yWindow="461" count="12">
    <dataValidation type="list" allowBlank="1" showInputMessage="1" showErrorMessage="1" prompt="Selections for Seismic Force-Resisting System are from ASCE 7-10 Table 12.2-1." sqref="C17">
      <formula1>$K$31:$K$115</formula1>
    </dataValidation>
    <dataValidation type="list" allowBlank="1" showInputMessage="1" showErrorMessage="1" sqref="C22">
      <formula1>$K$16:$K$30</formula1>
    </dataValidation>
    <dataValidation type="decimal" operator="lessThanOrEqual" allowBlank="1" showInputMessage="1" showErrorMessage="1" error="Max. height MUST BE &lt;= 240 ft." prompt="'hn' is the structure height above the base to the highest level of the structure." sqref="C15">
      <formula1>240</formula1>
    </dataValidation>
    <dataValidation type="list" allowBlank="1" showInputMessage="1" showErrorMessage="1" errorTitle="Warning!" error="Invalid steel yield strength" sqref="J68:J75">
      <formula1>$K$6:$K$7</formula1>
    </dataValidation>
    <dataValidation type="list" allowBlank="1" showInputMessage="1" showErrorMessage="1" prompt="When soil properties are not known in sufficient detail to determine the site class, Site Class D shall be used unless the building official determines that Class E or F soil is likely to be present at the site." sqref="C10">
      <formula1>$K$10:$K$15</formula1>
    </dataValidation>
    <dataValidation type="list" allowBlank="1" showInputMessage="1" showErrorMessage="1" sqref="C8">
      <formula1>$K$3:$K$6</formula1>
    </dataValidation>
    <dataValidation allowBlank="1" showInputMessage="1" showErrorMessage="1" prompt="Program automatically selects Seismic Factor, &quot;I&quot; from ASCE 7-10 Table 1.5-1, based on the Risk Category selected." sqref="C9"/>
    <dataValidation allowBlank="1" showInputMessage="1" showErrorMessage="1" prompt="The long period transition period, TL, can be determined either by using Figure 22-15 through 22-20 on pages 228-233, or from USGS maps located at: http://earthquake.usgs.gov/hazards/designmaps/pdfs/?code=ASCE+7&amp;edition=2010" sqref="C14"/>
    <dataValidation allowBlank="1" showInputMessage="1" showErrorMessage="1" prompt="The Actual Calculated Period, Tc, is the period determined from an independent analysis for the building or structure, in lieu of using the ASCE 7-10 Code formula for the approximate period, Ta._x000a_If Tc is not known, then input 0 or clear contents of cell._x000a_" sqref="C16"/>
    <dataValidation allowBlank="1" showInputMessage="1" showErrorMessage="1" prompt="Location Zip Code can be used to determine Design Spectral Response Acceleration values, Ss and S1.  An earthquake Ground Motion Parameters Calculator may be used from the USGS website at: _x000a_http://earthquake.usgs.gov/designmaps/us/application.php" sqref="C11"/>
    <dataValidation allowBlank="1" showInputMessage="1" showErrorMessage="1" prompt="The 0.2 Sec. Mapped Spectral Response Acceleration value, Ss, can be determined either from ASCE 7-10 Figures 22-1 through 22-11, or by using the earthquake Ground Motion Parameters Calculator used from the USGS website._x000a_" sqref="C12"/>
    <dataValidation allowBlank="1" showInputMessage="1" showErrorMessage="1" prompt="The 1.0 Sec. Mapped Spectral Response Acceleration value, S1, can be determined either from ASCE 7-10 Figures 22-1 through 22-11 on, or by using the earthquake Ground Motion Parameters Calculator used from the USGS website." sqref="C13"/>
  </dataValidations>
  <hyperlinks>
    <hyperlink ref="AM8" r:id="rId1" display="http://earthquake.usgs.gov/hazards/designmaps/javacalc.php"/>
    <hyperlink ref="AM8:AR8" r:id="rId2" display="http://earthquake.usgs.gov/designmaps/us/application.php"/>
    <hyperlink ref="AM5" r:id="rId3"/>
  </hyperlinks>
  <pageMargins left="1" right="0.5" top="1" bottom="1" header="0.5" footer="0.5"/>
  <pageSetup scale="89" orientation="portrait" r:id="rId4"/>
  <headerFooter alignWithMargins="0">
    <oddHeader>&amp;R"ASCE710E.xls" Program
Version 2.1</oddHeader>
    <oddFooter>&amp;C&amp;P of &amp;N&amp;R&amp;D  &amp;T</oddFooter>
  </headerFooter>
  <rowBreaks count="1" manualBreakCount="1">
    <brk id="56" max="8" man="1"/>
  </rowBreaks>
  <colBreaks count="1" manualBreakCount="1">
    <brk id="9" max="1048575" man="1"/>
  </colBreaks>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3112111111112111115115"/>
  <dimension ref="A1:EG388"/>
  <sheetViews>
    <sheetView showGridLines="0" zoomScaleNormal="100" zoomScaleSheetLayoutView="100" workbookViewId="0">
      <selection activeCell="B6" sqref="B6"/>
    </sheetView>
  </sheetViews>
  <sheetFormatPr defaultRowHeight="12.75"/>
  <cols>
    <col min="1" max="1" width="13.140625" style="65" customWidth="1"/>
    <col min="2" max="2" width="9.85546875" style="65" customWidth="1"/>
    <col min="3" max="3" width="12.28515625" style="65" customWidth="1"/>
    <col min="4" max="4" width="10.5703125" style="65" customWidth="1"/>
    <col min="5" max="5" width="9.7109375" style="65" customWidth="1"/>
    <col min="6" max="6" width="9.42578125" style="65" customWidth="1"/>
    <col min="7" max="7" width="9.140625" style="65"/>
    <col min="8" max="8" width="9.7109375" style="65" customWidth="1"/>
    <col min="9" max="9" width="10.42578125" style="65" customWidth="1"/>
    <col min="10" max="10" width="9.140625" style="77" hidden="1" customWidth="1"/>
    <col min="11" max="11" width="13.7109375" style="77" hidden="1" customWidth="1"/>
    <col min="12" max="12" width="24.7109375" style="19" hidden="1" customWidth="1"/>
    <col min="13" max="14" width="12.7109375" style="19" hidden="1" customWidth="1"/>
    <col min="15" max="15" width="12.7109375" style="27" hidden="1" customWidth="1"/>
    <col min="16" max="17" width="12.7109375" style="19" hidden="1" customWidth="1"/>
    <col min="18" max="19" width="9.140625" style="19" hidden="1" customWidth="1"/>
    <col min="20" max="20" width="4.7109375" style="19" hidden="1" customWidth="1"/>
    <col min="21" max="21" width="61.7109375" style="19" hidden="1" customWidth="1"/>
    <col min="22" max="24" width="9.140625" style="19" hidden="1" customWidth="1"/>
    <col min="25" max="25" width="10.85546875" style="19" hidden="1" customWidth="1"/>
    <col min="26" max="36" width="9.140625" style="19" hidden="1" customWidth="1"/>
    <col min="37" max="37" width="10.7109375" style="19" customWidth="1"/>
    <col min="38" max="38" width="11.42578125" style="19" customWidth="1"/>
    <col min="39" max="40" width="9.140625" style="19" customWidth="1"/>
    <col min="41" max="41" width="12.85546875" style="19" customWidth="1"/>
    <col min="42" max="43" width="10.140625" style="19" customWidth="1"/>
    <col min="44" max="46" width="9.140625" style="19" customWidth="1"/>
    <col min="47" max="51" width="12.85546875" style="19" customWidth="1"/>
    <col min="52" max="57" width="6.7109375" style="19" customWidth="1"/>
    <col min="58" max="62" width="7.7109375" style="19" customWidth="1"/>
    <col min="63" max="127" width="9.140625" style="19" customWidth="1"/>
    <col min="128" max="128" width="9.140625" style="70" customWidth="1"/>
    <col min="129" max="207" width="9.140625" style="19" customWidth="1"/>
    <col min="208" max="16384" width="9.140625" style="19"/>
  </cols>
  <sheetData>
    <row r="1" spans="1:137" ht="15.75">
      <c r="A1" s="7" t="s">
        <v>223</v>
      </c>
      <c r="B1" s="8"/>
      <c r="C1" s="9"/>
      <c r="D1" s="9"/>
      <c r="E1" s="9"/>
      <c r="F1" s="9"/>
      <c r="G1" s="10"/>
      <c r="H1" s="10"/>
      <c r="I1" s="11"/>
      <c r="J1" s="12"/>
      <c r="K1" s="13" t="s">
        <v>25</v>
      </c>
      <c r="L1" s="4" t="s">
        <v>55</v>
      </c>
      <c r="M1" s="14"/>
      <c r="N1" s="15"/>
      <c r="O1" s="16"/>
      <c r="P1" s="16"/>
      <c r="Q1" s="16"/>
      <c r="R1" s="16"/>
      <c r="S1" s="16"/>
      <c r="U1" s="16"/>
      <c r="V1" s="16"/>
      <c r="W1" s="16"/>
      <c r="X1" s="16"/>
      <c r="Y1" s="16"/>
      <c r="Z1" s="16"/>
      <c r="AA1" s="16"/>
      <c r="AB1" s="16"/>
      <c r="AC1" s="16"/>
      <c r="AD1" s="16"/>
      <c r="AE1" s="16"/>
      <c r="AF1" s="16"/>
      <c r="AG1" s="16"/>
      <c r="AH1" s="16"/>
      <c r="AI1" s="16"/>
      <c r="AJ1" s="16"/>
      <c r="AK1" s="1371" t="str">
        <f>Doc!$K$1</f>
        <v>Version 2.3 Updated 8/1/16</v>
      </c>
      <c r="AL1" s="1372"/>
      <c r="AN1" s="16"/>
      <c r="AO1" s="16"/>
      <c r="AP1" s="16"/>
      <c r="AQ1" s="16"/>
      <c r="AR1" s="16"/>
      <c r="AS1" s="16"/>
      <c r="AT1" s="16"/>
      <c r="AU1" s="512"/>
      <c r="AV1" s="511"/>
      <c r="AW1" s="511"/>
      <c r="AX1" s="511"/>
      <c r="AY1" s="511"/>
      <c r="AZ1" s="511"/>
      <c r="BA1" s="511"/>
      <c r="BB1" s="511"/>
      <c r="BC1" s="511"/>
      <c r="BD1" s="511"/>
      <c r="BE1" s="511"/>
      <c r="BF1" s="511"/>
      <c r="BG1" s="511"/>
      <c r="BH1" s="511"/>
      <c r="BI1" s="511"/>
      <c r="BJ1" s="511"/>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7"/>
      <c r="DX1" s="18"/>
      <c r="EB1" s="20"/>
      <c r="EC1" s="21"/>
    </row>
    <row r="2" spans="1:137" ht="12.75" customHeight="1">
      <c r="A2" s="22" t="s">
        <v>452</v>
      </c>
      <c r="B2" s="23"/>
      <c r="C2" s="23"/>
      <c r="D2" s="23"/>
      <c r="E2" s="23"/>
      <c r="F2" s="23"/>
      <c r="G2" s="23"/>
      <c r="H2" s="23"/>
      <c r="I2" s="24"/>
      <c r="J2" s="25"/>
      <c r="K2" s="13" t="s">
        <v>25</v>
      </c>
      <c r="L2" s="14" t="s">
        <v>25</v>
      </c>
      <c r="M2" s="14" t="s">
        <v>25</v>
      </c>
      <c r="N2" s="15"/>
      <c r="O2" s="26"/>
      <c r="P2" s="15"/>
      <c r="Q2" s="15"/>
      <c r="R2" s="15"/>
      <c r="S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512"/>
      <c r="AV2" s="513"/>
      <c r="AW2" s="513"/>
      <c r="AX2" s="513"/>
      <c r="AY2" s="513"/>
      <c r="AZ2" s="513"/>
      <c r="BA2" s="513"/>
      <c r="BB2" s="513"/>
      <c r="BC2" s="513"/>
      <c r="BD2" s="513"/>
      <c r="BE2" s="513"/>
      <c r="BF2" s="513"/>
      <c r="BG2" s="513"/>
      <c r="BH2" s="513"/>
      <c r="BI2" s="513"/>
      <c r="BJ2" s="513"/>
      <c r="BK2" s="16"/>
      <c r="BL2" s="16"/>
      <c r="BM2" s="16"/>
      <c r="BN2" s="16"/>
      <c r="BO2" s="16"/>
      <c r="BP2" s="16"/>
      <c r="BQ2" s="16"/>
      <c r="BR2" s="16"/>
      <c r="BS2" s="16"/>
      <c r="BT2" s="16"/>
      <c r="BU2" s="16"/>
      <c r="BV2" s="16"/>
      <c r="BW2" s="16"/>
      <c r="BX2" s="16"/>
      <c r="BY2" s="16"/>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8"/>
      <c r="EB2" s="20"/>
      <c r="EC2" s="25"/>
      <c r="ED2" s="27"/>
      <c r="EG2" s="28"/>
    </row>
    <row r="3" spans="1:137" ht="12.75" customHeight="1">
      <c r="A3" s="29" t="s">
        <v>378</v>
      </c>
      <c r="B3" s="30"/>
      <c r="C3" s="31"/>
      <c r="D3" s="31"/>
      <c r="E3" s="31"/>
      <c r="F3" s="31"/>
      <c r="G3" s="31"/>
      <c r="H3" s="31"/>
      <c r="I3" s="32"/>
      <c r="J3" s="33"/>
      <c r="K3" s="34" t="s">
        <v>28</v>
      </c>
      <c r="L3" s="35" t="s">
        <v>456</v>
      </c>
      <c r="M3" s="36"/>
      <c r="N3" s="36"/>
      <c r="O3" s="36"/>
      <c r="P3" s="36"/>
      <c r="Q3" s="37"/>
      <c r="R3" s="38"/>
      <c r="S3" s="38"/>
      <c r="T3" s="270" t="s">
        <v>413</v>
      </c>
      <c r="U3" s="271"/>
      <c r="V3" s="272"/>
      <c r="W3" s="272"/>
      <c r="X3" s="272"/>
      <c r="Y3" s="272"/>
      <c r="Z3" s="272"/>
      <c r="AA3" s="272"/>
      <c r="AB3" s="272"/>
      <c r="AC3" s="273"/>
      <c r="AD3" s="15"/>
      <c r="AE3" s="15"/>
      <c r="AF3" s="494" t="s">
        <v>481</v>
      </c>
      <c r="AG3" s="272"/>
      <c r="AH3" s="272"/>
      <c r="AI3" s="273"/>
      <c r="AJ3" s="15"/>
      <c r="AK3" s="15"/>
      <c r="AL3" s="15"/>
      <c r="AM3" s="15"/>
      <c r="AN3" s="15"/>
      <c r="AO3" s="15"/>
      <c r="AP3" s="15"/>
      <c r="AQ3" s="15"/>
      <c r="AR3" s="15"/>
      <c r="AS3" s="15"/>
      <c r="AT3" s="15"/>
      <c r="AU3" s="514"/>
      <c r="AV3" s="514"/>
      <c r="AW3" s="514"/>
      <c r="AX3" s="514"/>
      <c r="AY3" s="514"/>
      <c r="AZ3" s="515"/>
      <c r="BA3" s="515"/>
      <c r="BB3" s="515"/>
      <c r="BC3" s="515"/>
      <c r="BD3" s="516"/>
      <c r="BE3" s="516"/>
      <c r="BF3" s="515"/>
      <c r="BG3" s="515"/>
      <c r="BH3" s="515"/>
      <c r="BI3" s="515"/>
      <c r="BJ3" s="5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8"/>
      <c r="EB3" s="20"/>
      <c r="EC3" s="39"/>
      <c r="EG3" s="27"/>
    </row>
    <row r="4" spans="1:137" ht="12.75" customHeight="1">
      <c r="A4" s="5" t="s">
        <v>24</v>
      </c>
      <c r="B4" s="247"/>
      <c r="C4" s="248"/>
      <c r="D4" s="248"/>
      <c r="E4" s="248"/>
      <c r="F4" s="40" t="s">
        <v>40</v>
      </c>
      <c r="G4" s="372"/>
      <c r="H4" s="373"/>
      <c r="I4" s="374"/>
      <c r="J4" s="33"/>
      <c r="K4" s="34" t="s">
        <v>30</v>
      </c>
      <c r="L4" s="41" t="s">
        <v>145</v>
      </c>
      <c r="M4" s="42"/>
      <c r="N4" s="42"/>
      <c r="O4" s="42"/>
      <c r="P4" s="42"/>
      <c r="Q4" s="43"/>
      <c r="R4" s="38"/>
      <c r="S4" s="38"/>
      <c r="T4" s="274" t="s">
        <v>292</v>
      </c>
      <c r="U4" s="275"/>
      <c r="V4" s="276"/>
      <c r="W4" s="276"/>
      <c r="X4" s="276"/>
      <c r="Y4" s="276"/>
      <c r="Z4" s="276"/>
      <c r="AA4" s="276"/>
      <c r="AB4" s="276"/>
      <c r="AC4" s="277"/>
      <c r="AD4" s="15"/>
      <c r="AE4" s="15"/>
      <c r="AF4" s="488" t="s">
        <v>9</v>
      </c>
      <c r="AG4" s="276"/>
      <c r="AH4" s="276"/>
      <c r="AI4" s="277"/>
      <c r="AJ4" s="15"/>
      <c r="AK4" s="15"/>
      <c r="AL4" s="15"/>
      <c r="AM4" s="15"/>
      <c r="AN4" s="61"/>
      <c r="AO4" s="62"/>
      <c r="AP4" s="62"/>
      <c r="AQ4" s="63"/>
      <c r="AR4" s="15"/>
      <c r="AS4" s="15"/>
      <c r="AT4" s="15"/>
      <c r="AU4" s="514"/>
      <c r="AV4" s="514"/>
      <c r="AW4" s="514"/>
      <c r="AX4" s="514"/>
      <c r="AY4" s="514"/>
      <c r="AZ4" s="515"/>
      <c r="BA4" s="515"/>
      <c r="BB4" s="515"/>
      <c r="BC4" s="515"/>
      <c r="BD4" s="515"/>
      <c r="BE4" s="515"/>
      <c r="BF4" s="515"/>
      <c r="BG4" s="515"/>
      <c r="BH4" s="515"/>
      <c r="BI4" s="515"/>
      <c r="BJ4" s="5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8"/>
      <c r="EB4" s="20"/>
      <c r="EC4" s="27"/>
      <c r="ED4" s="33"/>
      <c r="EG4" s="44"/>
    </row>
    <row r="5" spans="1:137" ht="12.75" customHeight="1">
      <c r="A5" s="5" t="s">
        <v>26</v>
      </c>
      <c r="B5" s="249"/>
      <c r="C5" s="250"/>
      <c r="D5" s="250"/>
      <c r="E5" s="250"/>
      <c r="F5" s="6" t="s">
        <v>41</v>
      </c>
      <c r="G5" s="251"/>
      <c r="H5" s="6" t="s">
        <v>39</v>
      </c>
      <c r="I5" s="251"/>
      <c r="J5" s="33"/>
      <c r="K5" s="34" t="s">
        <v>27</v>
      </c>
      <c r="L5" s="45" t="s">
        <v>37</v>
      </c>
      <c r="M5" s="46" t="s">
        <v>69</v>
      </c>
      <c r="N5" s="46" t="s">
        <v>70</v>
      </c>
      <c r="O5" s="46" t="s">
        <v>71</v>
      </c>
      <c r="P5" s="46" t="s">
        <v>72</v>
      </c>
      <c r="Q5" s="46" t="s">
        <v>73</v>
      </c>
      <c r="R5" s="47" t="s">
        <v>56</v>
      </c>
      <c r="S5" s="47"/>
      <c r="T5" s="270"/>
      <c r="U5" s="278"/>
      <c r="V5" s="282"/>
      <c r="W5" s="401"/>
      <c r="X5" s="282"/>
      <c r="Y5" s="286" t="s">
        <v>148</v>
      </c>
      <c r="Z5" s="287"/>
      <c r="AA5" s="287"/>
      <c r="AB5" s="287"/>
      <c r="AC5" s="288"/>
      <c r="AD5" s="282"/>
      <c r="AE5" s="282"/>
      <c r="AF5" s="282" t="s">
        <v>6</v>
      </c>
      <c r="AG5" s="282" t="s">
        <v>6</v>
      </c>
      <c r="AH5" s="282" t="s">
        <v>6</v>
      </c>
      <c r="AI5" s="282" t="s">
        <v>6</v>
      </c>
      <c r="AJ5" s="13"/>
      <c r="AK5" s="13"/>
      <c r="AL5" s="13"/>
      <c r="AM5" s="15"/>
      <c r="AN5" s="1403"/>
      <c r="AO5" s="1404"/>
      <c r="AP5" s="1404"/>
      <c r="AQ5" s="1404"/>
      <c r="AR5" s="15"/>
      <c r="AS5" s="15"/>
      <c r="AT5" s="15"/>
      <c r="AU5" s="515"/>
      <c r="AV5" s="515"/>
      <c r="AW5" s="515"/>
      <c r="AX5" s="515"/>
      <c r="AY5" s="515"/>
      <c r="AZ5" s="515"/>
      <c r="BA5" s="515"/>
      <c r="BB5" s="515"/>
      <c r="BC5" s="515"/>
      <c r="BD5" s="515"/>
      <c r="BE5" s="515"/>
      <c r="BF5" s="515"/>
      <c r="BG5" s="515"/>
      <c r="BH5" s="515"/>
      <c r="BI5" s="515"/>
      <c r="BJ5" s="5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15"/>
      <c r="DX5" s="18"/>
      <c r="EB5" s="20"/>
      <c r="EC5" s="27"/>
      <c r="ED5" s="33"/>
      <c r="EG5" s="44"/>
    </row>
    <row r="6" spans="1:137" ht="12.75" customHeight="1">
      <c r="A6" s="49"/>
      <c r="B6" s="252"/>
      <c r="C6" s="252"/>
      <c r="D6" s="252"/>
      <c r="E6" s="252"/>
      <c r="F6" s="252"/>
      <c r="G6" s="253"/>
      <c r="H6" s="1"/>
      <c r="I6" s="254"/>
      <c r="J6" s="50"/>
      <c r="K6" s="34" t="s">
        <v>34</v>
      </c>
      <c r="L6" s="52" t="s">
        <v>29</v>
      </c>
      <c r="M6" s="52">
        <v>0.8</v>
      </c>
      <c r="N6" s="52">
        <v>0.8</v>
      </c>
      <c r="O6" s="52">
        <v>0.8</v>
      </c>
      <c r="P6" s="52">
        <v>0.8</v>
      </c>
      <c r="Q6" s="52">
        <v>0.8</v>
      </c>
      <c r="R6" s="53">
        <v>0.8</v>
      </c>
      <c r="S6" s="53"/>
      <c r="T6" s="41" t="s">
        <v>263</v>
      </c>
      <c r="U6" s="43"/>
      <c r="V6" s="268" t="s">
        <v>109</v>
      </c>
      <c r="W6" s="294" t="s">
        <v>13</v>
      </c>
      <c r="X6" s="268" t="s">
        <v>155</v>
      </c>
      <c r="Y6" s="269" t="s">
        <v>111</v>
      </c>
      <c r="Z6" s="265" t="s">
        <v>33</v>
      </c>
      <c r="AA6" s="265" t="s">
        <v>32</v>
      </c>
      <c r="AB6" s="265" t="s">
        <v>35</v>
      </c>
      <c r="AC6" s="265" t="s">
        <v>36</v>
      </c>
      <c r="AD6" s="268" t="s">
        <v>142</v>
      </c>
      <c r="AE6" s="268" t="s">
        <v>118</v>
      </c>
      <c r="AF6" s="413" t="s">
        <v>28</v>
      </c>
      <c r="AG6" s="413" t="s">
        <v>30</v>
      </c>
      <c r="AH6" s="413" t="s">
        <v>27</v>
      </c>
      <c r="AI6" s="413" t="s">
        <v>34</v>
      </c>
      <c r="AJ6" s="104"/>
      <c r="AK6" s="104"/>
      <c r="AL6" s="104"/>
      <c r="AM6" s="48"/>
      <c r="AN6" s="48"/>
      <c r="AO6" s="48"/>
      <c r="AP6" s="48"/>
      <c r="AQ6" s="48"/>
      <c r="AR6" s="48"/>
      <c r="AS6" s="48"/>
      <c r="AT6" s="48"/>
      <c r="AU6" s="515"/>
      <c r="AV6" s="515"/>
      <c r="AW6" s="515"/>
      <c r="AX6" s="515"/>
      <c r="AY6" s="515"/>
      <c r="AZ6" s="515"/>
      <c r="BA6" s="515"/>
      <c r="BB6" s="515"/>
      <c r="BC6" s="515"/>
      <c r="BD6" s="515"/>
      <c r="BE6" s="515"/>
      <c r="BF6" s="515"/>
      <c r="BG6" s="515"/>
      <c r="BH6" s="515"/>
      <c r="BI6" s="515"/>
      <c r="BJ6" s="515"/>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18"/>
      <c r="EB6" s="20"/>
      <c r="EC6" s="39"/>
    </row>
    <row r="7" spans="1:137" ht="12.75" customHeight="1">
      <c r="A7" s="54" t="s">
        <v>57</v>
      </c>
      <c r="B7" s="252"/>
      <c r="C7" s="252"/>
      <c r="D7" s="256"/>
      <c r="E7" s="255"/>
      <c r="F7" s="252"/>
      <c r="G7" s="252"/>
      <c r="H7" s="252"/>
      <c r="I7" s="257"/>
      <c r="J7" s="57"/>
      <c r="K7" s="58">
        <v>1</v>
      </c>
      <c r="L7" s="59" t="s">
        <v>31</v>
      </c>
      <c r="M7" s="59">
        <v>1</v>
      </c>
      <c r="N7" s="59">
        <v>1</v>
      </c>
      <c r="O7" s="59">
        <v>1</v>
      </c>
      <c r="P7" s="59">
        <v>1</v>
      </c>
      <c r="Q7" s="59">
        <v>1</v>
      </c>
      <c r="R7" s="60">
        <v>1</v>
      </c>
      <c r="S7" s="60"/>
      <c r="T7" s="343" t="s">
        <v>235</v>
      </c>
      <c r="U7" s="323"/>
      <c r="V7" s="266"/>
      <c r="W7" s="266"/>
      <c r="X7" s="266"/>
      <c r="Y7" s="266"/>
      <c r="Z7" s="266"/>
      <c r="AA7" s="266"/>
      <c r="AB7" s="266"/>
      <c r="AC7" s="267"/>
      <c r="AD7" s="266"/>
      <c r="AE7" s="267"/>
      <c r="AF7" s="266"/>
      <c r="AG7" s="266"/>
      <c r="AH7" s="266"/>
      <c r="AI7" s="267"/>
      <c r="AJ7" s="48"/>
      <c r="AK7" s="48"/>
      <c r="AL7" s="48"/>
      <c r="AM7" s="48"/>
      <c r="AR7" s="48"/>
      <c r="AS7" s="48"/>
      <c r="AT7" s="48"/>
      <c r="AU7" s="514"/>
      <c r="AV7" s="509"/>
      <c r="AW7" s="509"/>
      <c r="AX7" s="509"/>
      <c r="AY7" s="509"/>
      <c r="AZ7" s="509"/>
      <c r="BA7" s="509"/>
      <c r="BB7" s="509"/>
      <c r="BC7" s="509"/>
      <c r="BD7" s="509"/>
      <c r="BE7" s="509"/>
      <c r="BF7" s="509"/>
      <c r="BG7" s="509"/>
      <c r="BH7" s="509"/>
      <c r="BI7" s="509"/>
      <c r="BJ7" s="509"/>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18"/>
      <c r="EB7" s="20"/>
      <c r="EC7" s="27"/>
      <c r="ED7" s="33"/>
      <c r="EG7" s="44"/>
    </row>
    <row r="8" spans="1:137" ht="12.75" customHeight="1">
      <c r="A8" s="54"/>
      <c r="B8" s="67" t="s">
        <v>405</v>
      </c>
      <c r="C8" s="285" t="s">
        <v>28</v>
      </c>
      <c r="D8" s="89" t="s">
        <v>406</v>
      </c>
      <c r="E8" s="55"/>
      <c r="F8" s="55"/>
      <c r="G8" s="33"/>
      <c r="H8" s="25"/>
      <c r="I8" s="375"/>
      <c r="J8" s="57"/>
      <c r="K8" s="58">
        <v>1.25</v>
      </c>
      <c r="L8" s="59" t="s">
        <v>33</v>
      </c>
      <c r="M8" s="59">
        <v>1.2</v>
      </c>
      <c r="N8" s="59">
        <v>1.2</v>
      </c>
      <c r="O8" s="59">
        <v>1.1000000000000001</v>
      </c>
      <c r="P8" s="59">
        <v>1</v>
      </c>
      <c r="Q8" s="59">
        <v>1</v>
      </c>
      <c r="R8" s="44">
        <f>IF($C$12&lt;=0.25,1.2,IF(AND($C$12&gt;0.25,$C$12&lt;=0.5),(1.2-1.2)*($C$12-0.25)/(0.5-0.25)+1.2,IF(AND($C$12&gt;0.5,$C$12&lt;=0.75),(1.1-1.2)*($C$12-0.5)/(0.75-0.5)+1.2,IF(AND($C$12&gt;0.75,$C$12&lt;=1),(1-1.1)*($C$12-0.75)/(1-0.75)+1.1,IF(AND($C$12&gt;1,$C$12&lt;=1.25),(1-1)*($C$12-1)/(1.25-1)+1,1)))))</f>
        <v>1.2</v>
      </c>
      <c r="T8" s="357" t="s">
        <v>236</v>
      </c>
      <c r="U8" s="403" t="s">
        <v>125</v>
      </c>
      <c r="V8" s="539">
        <v>5</v>
      </c>
      <c r="W8" s="321">
        <v>2.5</v>
      </c>
      <c r="X8" s="321">
        <v>5</v>
      </c>
      <c r="Y8" s="321" t="s">
        <v>110</v>
      </c>
      <c r="Z8" s="321" t="s">
        <v>110</v>
      </c>
      <c r="AA8" s="321">
        <v>160</v>
      </c>
      <c r="AB8" s="321">
        <v>160</v>
      </c>
      <c r="AC8" s="321">
        <v>100</v>
      </c>
      <c r="AD8" s="321">
        <v>0.02</v>
      </c>
      <c r="AE8" s="321">
        <v>0.75</v>
      </c>
      <c r="AF8" s="419">
        <v>0.02</v>
      </c>
      <c r="AG8" s="419">
        <v>0.02</v>
      </c>
      <c r="AH8" s="419">
        <v>1.4999999999999999E-2</v>
      </c>
      <c r="AI8" s="419">
        <v>0.01</v>
      </c>
      <c r="AJ8" s="324"/>
      <c r="AK8" s="324"/>
      <c r="AL8" s="324"/>
      <c r="AM8" s="48"/>
      <c r="AN8" s="481"/>
      <c r="AO8" s="479"/>
      <c r="AP8" s="388"/>
      <c r="AQ8" s="387"/>
      <c r="AR8" s="387"/>
      <c r="AS8" s="387"/>
      <c r="AT8" s="48"/>
      <c r="AU8" s="519"/>
      <c r="AV8" s="520"/>
      <c r="AW8" s="520"/>
      <c r="AX8" s="520"/>
      <c r="AY8" s="520"/>
      <c r="AZ8" s="521"/>
      <c r="BA8" s="520"/>
      <c r="BB8" s="521"/>
      <c r="BC8" s="520"/>
      <c r="BD8" s="521"/>
      <c r="BE8" s="520"/>
      <c r="BF8" s="522"/>
      <c r="BG8" s="522"/>
      <c r="BH8" s="523"/>
      <c r="BI8" s="523"/>
      <c r="BJ8" s="523"/>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18"/>
      <c r="EB8" s="20"/>
      <c r="EC8" s="27"/>
      <c r="ED8" s="33"/>
      <c r="EG8" s="44"/>
    </row>
    <row r="9" spans="1:137" ht="12.75" customHeight="1">
      <c r="A9" s="54"/>
      <c r="B9" s="68" t="s">
        <v>213</v>
      </c>
      <c r="C9" s="897">
        <f>IF($C$8="I",1,IF($C$8="II",1,IF($C$8="III",1.25,IF($C$8="IV",1.5))))</f>
        <v>1</v>
      </c>
      <c r="D9" s="55" t="s">
        <v>407</v>
      </c>
      <c r="E9" s="55"/>
      <c r="F9" s="55"/>
      <c r="G9" s="55"/>
      <c r="H9" s="55"/>
      <c r="I9" s="66" t="s">
        <v>14</v>
      </c>
      <c r="J9" s="57"/>
      <c r="K9" s="58">
        <v>1.5</v>
      </c>
      <c r="L9" s="59" t="s">
        <v>32</v>
      </c>
      <c r="M9" s="59">
        <v>1.6</v>
      </c>
      <c r="N9" s="59">
        <v>1.4</v>
      </c>
      <c r="O9" s="59">
        <v>1.2</v>
      </c>
      <c r="P9" s="59">
        <v>1.1000000000000001</v>
      </c>
      <c r="Q9" s="59">
        <v>1</v>
      </c>
      <c r="R9" s="44">
        <f>IF($C$12&lt;=0.25,1.6,IF(AND($C$12&gt;0.25,$C$12&lt;=0.5),(1.4-1.6)*($C$12-0.25)/(0.5-0.25)+1.6,IF(AND($C$12&gt;0.5,$C$12&lt;=0.75),(1.2-1.4)*($C$12-0.5)/(0.75-0.5)+1.4,IF(AND($C$12&gt;0.75,$C$12&lt;=1),(1.1-1.2)*($C$12-0.75)/(1-0.75)+1.2,IF(AND($C$12&gt;1,$C$12&lt;=1.25),(1-1.1)*($C$12-1)/(1.25-1)+1.1,1)))))</f>
        <v>1.5180800000000001</v>
      </c>
      <c r="T9" s="325" t="s">
        <v>237</v>
      </c>
      <c r="U9" s="404" t="s">
        <v>126</v>
      </c>
      <c r="V9" s="539">
        <v>4</v>
      </c>
      <c r="W9" s="321">
        <v>2.5</v>
      </c>
      <c r="X9" s="321">
        <v>4</v>
      </c>
      <c r="Y9" s="321" t="s">
        <v>110</v>
      </c>
      <c r="Z9" s="321" t="s">
        <v>110</v>
      </c>
      <c r="AA9" s="321" t="s">
        <v>112</v>
      </c>
      <c r="AB9" s="321" t="s">
        <v>112</v>
      </c>
      <c r="AC9" s="321" t="s">
        <v>112</v>
      </c>
      <c r="AD9" s="321">
        <v>0.02</v>
      </c>
      <c r="AE9" s="321">
        <v>0.75</v>
      </c>
      <c r="AF9" s="415">
        <v>0.02</v>
      </c>
      <c r="AG9" s="415">
        <v>0.02</v>
      </c>
      <c r="AH9" s="415">
        <v>1.4999999999999999E-2</v>
      </c>
      <c r="AI9" s="415">
        <v>0.01</v>
      </c>
      <c r="AJ9" s="324"/>
      <c r="AK9" s="324"/>
      <c r="AL9" s="324"/>
      <c r="AM9" s="48"/>
      <c r="AN9" s="480"/>
      <c r="AO9" s="485"/>
      <c r="AP9" s="480"/>
      <c r="AQ9" s="480"/>
      <c r="AR9" s="480"/>
      <c r="AS9" s="480"/>
      <c r="AT9" s="48"/>
      <c r="AU9" s="519"/>
      <c r="AV9" s="520"/>
      <c r="AW9" s="520"/>
      <c r="AX9" s="520"/>
      <c r="AY9" s="520"/>
      <c r="AZ9" s="521"/>
      <c r="BA9" s="520"/>
      <c r="BB9" s="521"/>
      <c r="BC9" s="520"/>
      <c r="BD9" s="521"/>
      <c r="BE9" s="520"/>
      <c r="BF9" s="522"/>
      <c r="BG9" s="522"/>
      <c r="BH9" s="524"/>
      <c r="BI9" s="524"/>
      <c r="BJ9" s="524"/>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18"/>
      <c r="EB9" s="20"/>
      <c r="EC9" s="27"/>
      <c r="ED9" s="33"/>
      <c r="EG9" s="44"/>
    </row>
    <row r="10" spans="1:137" ht="12.75" customHeight="1">
      <c r="A10" s="54"/>
      <c r="B10" s="71" t="s">
        <v>144</v>
      </c>
      <c r="C10" s="1345" t="s">
        <v>32</v>
      </c>
      <c r="D10" s="55" t="s">
        <v>408</v>
      </c>
      <c r="E10" s="55"/>
      <c r="F10" s="376"/>
      <c r="G10" s="55"/>
      <c r="H10" s="55"/>
      <c r="I10" s="66" t="s">
        <v>15</v>
      </c>
      <c r="J10" s="57"/>
      <c r="K10" s="69" t="s">
        <v>29</v>
      </c>
      <c r="L10" s="59" t="s">
        <v>35</v>
      </c>
      <c r="M10" s="59">
        <v>2.5</v>
      </c>
      <c r="N10" s="59">
        <v>1.7</v>
      </c>
      <c r="O10" s="59">
        <v>1.2</v>
      </c>
      <c r="P10" s="59">
        <v>0.9</v>
      </c>
      <c r="Q10" s="59">
        <v>0.9</v>
      </c>
      <c r="R10" s="44">
        <f>IF($C$12&lt;=0.25,2.5,IF(AND($C$12&gt;0.25,$C$12&lt;=0.5),(1.7-2.5)*($C$12-0.25)/(0.5-0.25)+2.5,IF(AND($C$12&gt;0.5,$C$12&lt;=0.75),(1.2-1.7)*($C$12-0.5)/(0.75-0.5)+1.7,IF(AND($C$12&gt;0.75,$C$12&lt;=1),(0.9-1.2)*($C$12-0.75)/(1-0.75)+1.2,IF(AND($C$12&gt;1,$C$12&lt;=1.25),0.9,0.9)))))</f>
        <v>2.17232</v>
      </c>
      <c r="T10" s="325" t="s">
        <v>238</v>
      </c>
      <c r="U10" s="404" t="s">
        <v>113</v>
      </c>
      <c r="V10" s="321">
        <v>2</v>
      </c>
      <c r="W10" s="321">
        <v>2.5</v>
      </c>
      <c r="X10" s="321">
        <v>2</v>
      </c>
      <c r="Y10" s="321" t="s">
        <v>110</v>
      </c>
      <c r="Z10" s="321" t="s">
        <v>112</v>
      </c>
      <c r="AA10" s="321" t="s">
        <v>112</v>
      </c>
      <c r="AB10" s="321" t="s">
        <v>112</v>
      </c>
      <c r="AC10" s="321" t="s">
        <v>112</v>
      </c>
      <c r="AD10" s="321">
        <v>0.02</v>
      </c>
      <c r="AE10" s="321">
        <v>0.75</v>
      </c>
      <c r="AF10" s="415">
        <v>0.02</v>
      </c>
      <c r="AG10" s="415">
        <v>0.02</v>
      </c>
      <c r="AH10" s="415">
        <v>1.4999999999999999E-2</v>
      </c>
      <c r="AI10" s="415">
        <v>0.01</v>
      </c>
      <c r="AJ10" s="324"/>
      <c r="AK10" s="324"/>
      <c r="AL10" s="324"/>
      <c r="AM10" s="48"/>
      <c r="AN10" s="480"/>
      <c r="AO10" s="480"/>
      <c r="AP10" s="480"/>
      <c r="AQ10" s="480"/>
      <c r="AR10" s="480"/>
      <c r="AS10" s="480"/>
      <c r="AT10" s="48"/>
      <c r="AU10" s="519"/>
      <c r="AV10" s="520"/>
      <c r="AW10" s="520"/>
      <c r="AX10" s="520"/>
      <c r="AY10" s="520"/>
      <c r="AZ10" s="521"/>
      <c r="BA10" s="520"/>
      <c r="BB10" s="521"/>
      <c r="BC10" s="520"/>
      <c r="BD10" s="521"/>
      <c r="BE10" s="520"/>
      <c r="BF10" s="522"/>
      <c r="BG10" s="524"/>
      <c r="BH10" s="524"/>
      <c r="BI10" s="524"/>
      <c r="BJ10" s="524"/>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18"/>
      <c r="EB10" s="20"/>
      <c r="EC10" s="27"/>
      <c r="ED10" s="33"/>
      <c r="EG10" s="44"/>
    </row>
    <row r="11" spans="1:137" ht="12.75" customHeight="1">
      <c r="A11" s="75"/>
      <c r="B11" s="64" t="s">
        <v>42</v>
      </c>
      <c r="C11" s="284"/>
      <c r="D11" s="55" t="str">
        <f>IF($C$11="","(not required)","")</f>
        <v>(not required)</v>
      </c>
      <c r="E11" s="105"/>
      <c r="F11" s="376"/>
      <c r="G11" s="55"/>
      <c r="H11" s="55"/>
      <c r="I11" s="66" t="s">
        <v>16</v>
      </c>
      <c r="J11" s="57"/>
      <c r="K11" s="69" t="s">
        <v>31</v>
      </c>
      <c r="L11" s="74" t="s">
        <v>36</v>
      </c>
      <c r="M11" s="74" t="s">
        <v>38</v>
      </c>
      <c r="N11" s="74" t="s">
        <v>38</v>
      </c>
      <c r="O11" s="74" t="s">
        <v>38</v>
      </c>
      <c r="P11" s="74" t="s">
        <v>38</v>
      </c>
      <c r="Q11" s="74" t="s">
        <v>38</v>
      </c>
      <c r="R11" s="27" t="s">
        <v>38</v>
      </c>
      <c r="T11" s="325" t="s">
        <v>239</v>
      </c>
      <c r="U11" s="404" t="s">
        <v>114</v>
      </c>
      <c r="V11" s="321">
        <v>1.5</v>
      </c>
      <c r="W11" s="321">
        <v>2.5</v>
      </c>
      <c r="X11" s="321">
        <v>1.5</v>
      </c>
      <c r="Y11" s="321" t="s">
        <v>110</v>
      </c>
      <c r="Z11" s="321" t="s">
        <v>112</v>
      </c>
      <c r="AA11" s="321" t="s">
        <v>112</v>
      </c>
      <c r="AB11" s="321" t="s">
        <v>112</v>
      </c>
      <c r="AC11" s="321" t="s">
        <v>112</v>
      </c>
      <c r="AD11" s="321">
        <v>0.02</v>
      </c>
      <c r="AE11" s="321">
        <v>0.75</v>
      </c>
      <c r="AF11" s="415">
        <v>0.02</v>
      </c>
      <c r="AG11" s="415">
        <v>0.02</v>
      </c>
      <c r="AH11" s="415">
        <v>1.4999999999999999E-2</v>
      </c>
      <c r="AI11" s="415">
        <v>0.01</v>
      </c>
      <c r="AJ11" s="324"/>
      <c r="AK11" s="324"/>
      <c r="AL11" s="324"/>
      <c r="AM11" s="48"/>
      <c r="AN11" s="486"/>
      <c r="AO11" s="486"/>
      <c r="AP11" s="486"/>
      <c r="AQ11" s="486"/>
      <c r="AR11" s="486"/>
      <c r="AS11" s="486"/>
      <c r="AT11" s="48"/>
      <c r="AU11" s="519"/>
      <c r="AV11" s="520"/>
      <c r="AW11" s="520"/>
      <c r="AX11" s="520"/>
      <c r="AY11" s="520"/>
      <c r="AZ11" s="521"/>
      <c r="BA11" s="520"/>
      <c r="BB11" s="521"/>
      <c r="BC11" s="520"/>
      <c r="BD11" s="521"/>
      <c r="BE11" s="520"/>
      <c r="BF11" s="522"/>
      <c r="BG11" s="524"/>
      <c r="BH11" s="524"/>
      <c r="BI11" s="524"/>
      <c r="BJ11" s="524"/>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18"/>
      <c r="EB11" s="20"/>
      <c r="EC11" s="27"/>
      <c r="ED11" s="33"/>
      <c r="EG11" s="44"/>
    </row>
    <row r="12" spans="1:137" ht="12.75" customHeight="1">
      <c r="A12" s="82"/>
      <c r="B12" s="71" t="s">
        <v>151</v>
      </c>
      <c r="C12" s="262">
        <v>0.35239999999999999</v>
      </c>
      <c r="D12" s="81" t="s">
        <v>411</v>
      </c>
      <c r="E12" s="64"/>
      <c r="F12" s="72"/>
      <c r="G12" s="55"/>
      <c r="H12" s="55"/>
      <c r="I12" s="66" t="s">
        <v>17</v>
      </c>
      <c r="J12" s="57"/>
      <c r="K12" s="69" t="s">
        <v>33</v>
      </c>
      <c r="L12" s="77"/>
      <c r="M12" s="77"/>
      <c r="N12" s="77"/>
      <c r="O12" s="77"/>
      <c r="P12" s="27"/>
      <c r="Q12" s="77"/>
      <c r="T12" s="325" t="s">
        <v>240</v>
      </c>
      <c r="U12" s="404" t="s">
        <v>252</v>
      </c>
      <c r="V12" s="321">
        <v>4</v>
      </c>
      <c r="W12" s="321">
        <v>2.5</v>
      </c>
      <c r="X12" s="321">
        <v>4</v>
      </c>
      <c r="Y12" s="321" t="s">
        <v>110</v>
      </c>
      <c r="Z12" s="321" t="s">
        <v>110</v>
      </c>
      <c r="AA12" s="321">
        <v>40</v>
      </c>
      <c r="AB12" s="321">
        <v>40</v>
      </c>
      <c r="AC12" s="321">
        <v>40</v>
      </c>
      <c r="AD12" s="321">
        <v>0.02</v>
      </c>
      <c r="AE12" s="321">
        <v>0.75</v>
      </c>
      <c r="AF12" s="415">
        <v>0.02</v>
      </c>
      <c r="AG12" s="415">
        <v>0.02</v>
      </c>
      <c r="AH12" s="415">
        <v>1.4999999999999999E-2</v>
      </c>
      <c r="AI12" s="415">
        <v>0.01</v>
      </c>
      <c r="AJ12" s="324"/>
      <c r="AK12" s="324"/>
      <c r="AL12" s="324"/>
      <c r="AM12" s="15"/>
      <c r="AN12" s="480"/>
      <c r="AO12" s="480"/>
      <c r="AP12" s="480"/>
      <c r="AQ12" s="480"/>
      <c r="AR12" s="480"/>
      <c r="AS12" s="480"/>
      <c r="AT12" s="15"/>
      <c r="AU12" s="519"/>
      <c r="AV12" s="520"/>
      <c r="AW12" s="520"/>
      <c r="AX12" s="520"/>
      <c r="AY12" s="520"/>
      <c r="AZ12" s="521"/>
      <c r="BA12" s="520"/>
      <c r="BB12" s="521"/>
      <c r="BC12" s="520"/>
      <c r="BD12" s="521"/>
      <c r="BE12" s="520"/>
      <c r="BF12" s="522"/>
      <c r="BG12" s="522"/>
      <c r="BH12" s="523"/>
      <c r="BI12" s="523"/>
      <c r="BJ12" s="523"/>
      <c r="BK12" s="78"/>
      <c r="BL12" s="78"/>
      <c r="BM12" s="78"/>
      <c r="BN12" s="78"/>
      <c r="BO12" s="78"/>
      <c r="BP12" s="78"/>
      <c r="BQ12" s="78"/>
      <c r="BR12" s="78"/>
      <c r="BS12" s="78"/>
      <c r="BT12" s="78"/>
      <c r="BU12" s="78"/>
      <c r="BV12" s="78"/>
      <c r="BW12" s="78"/>
      <c r="BX12" s="78"/>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8"/>
      <c r="EB12" s="20"/>
      <c r="EC12" s="27"/>
      <c r="ED12" s="33"/>
      <c r="EG12" s="44"/>
    </row>
    <row r="13" spans="1:137" ht="12.75" customHeight="1">
      <c r="A13" s="85"/>
      <c r="B13" s="71" t="s">
        <v>152</v>
      </c>
      <c r="C13" s="262">
        <v>0.10630299999999999</v>
      </c>
      <c r="D13" s="81" t="s">
        <v>411</v>
      </c>
      <c r="E13" s="64"/>
      <c r="F13" s="72"/>
      <c r="G13" s="55"/>
      <c r="H13" s="55"/>
      <c r="I13" s="66" t="s">
        <v>18</v>
      </c>
      <c r="J13" s="57"/>
      <c r="K13" s="69" t="s">
        <v>32</v>
      </c>
      <c r="L13" s="35" t="s">
        <v>457</v>
      </c>
      <c r="M13" s="36"/>
      <c r="N13" s="36"/>
      <c r="O13" s="36"/>
      <c r="P13" s="36"/>
      <c r="Q13" s="37"/>
      <c r="R13" s="38"/>
      <c r="T13" s="325" t="s">
        <v>241</v>
      </c>
      <c r="U13" s="404" t="s">
        <v>253</v>
      </c>
      <c r="V13" s="321">
        <v>3</v>
      </c>
      <c r="W13" s="321">
        <v>2.5</v>
      </c>
      <c r="X13" s="321">
        <v>3</v>
      </c>
      <c r="Y13" s="321" t="s">
        <v>110</v>
      </c>
      <c r="Z13" s="321" t="s">
        <v>112</v>
      </c>
      <c r="AA13" s="321" t="s">
        <v>112</v>
      </c>
      <c r="AB13" s="321" t="s">
        <v>112</v>
      </c>
      <c r="AC13" s="321" t="s">
        <v>112</v>
      </c>
      <c r="AD13" s="321">
        <v>0.02</v>
      </c>
      <c r="AE13" s="321">
        <v>0.75</v>
      </c>
      <c r="AF13" s="415">
        <v>0.02</v>
      </c>
      <c r="AG13" s="415">
        <v>0.02</v>
      </c>
      <c r="AH13" s="415">
        <v>1.4999999999999999E-2</v>
      </c>
      <c r="AI13" s="415">
        <v>0.01</v>
      </c>
      <c r="AJ13" s="324"/>
      <c r="AK13" s="324"/>
      <c r="AL13" s="324"/>
      <c r="AM13" s="15"/>
      <c r="AN13" s="480"/>
      <c r="AO13" s="480"/>
      <c r="AP13" s="480"/>
      <c r="AQ13" s="480"/>
      <c r="AR13" s="480"/>
      <c r="AS13" s="480"/>
      <c r="AT13" s="15"/>
      <c r="AU13" s="519"/>
      <c r="AV13" s="520"/>
      <c r="AW13" s="520"/>
      <c r="AX13" s="520"/>
      <c r="AY13" s="520"/>
      <c r="AZ13" s="521"/>
      <c r="BA13" s="520"/>
      <c r="BB13" s="521"/>
      <c r="BC13" s="520"/>
      <c r="BD13" s="521"/>
      <c r="BE13" s="520"/>
      <c r="BF13" s="522"/>
      <c r="BG13" s="524"/>
      <c r="BH13" s="524"/>
      <c r="BI13" s="524"/>
      <c r="BJ13" s="524"/>
      <c r="BK13" s="78"/>
      <c r="BL13" s="78"/>
      <c r="BM13" s="78"/>
      <c r="BN13" s="78"/>
      <c r="BO13" s="78"/>
      <c r="BP13" s="78"/>
      <c r="BQ13" s="78"/>
      <c r="BR13" s="78"/>
      <c r="BS13" s="78"/>
      <c r="BT13" s="78"/>
      <c r="BU13" s="78"/>
      <c r="BV13" s="78"/>
      <c r="BW13" s="78"/>
      <c r="BX13" s="78"/>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8"/>
      <c r="EB13" s="20"/>
      <c r="EC13" s="27"/>
      <c r="ED13" s="33"/>
      <c r="EG13" s="44"/>
    </row>
    <row r="14" spans="1:137" ht="12.75" customHeight="1">
      <c r="A14" s="86"/>
      <c r="B14" s="67" t="s">
        <v>60</v>
      </c>
      <c r="C14" s="262">
        <v>36</v>
      </c>
      <c r="D14" s="76" t="s">
        <v>54</v>
      </c>
      <c r="E14" s="64"/>
      <c r="F14" s="72"/>
      <c r="G14" s="33"/>
      <c r="H14" s="55"/>
      <c r="I14" s="66" t="s">
        <v>19</v>
      </c>
      <c r="J14" s="57"/>
      <c r="K14" s="69" t="s">
        <v>35</v>
      </c>
      <c r="L14" s="41" t="s">
        <v>146</v>
      </c>
      <c r="M14" s="42"/>
      <c r="N14" s="42"/>
      <c r="O14" s="42"/>
      <c r="P14" s="42"/>
      <c r="Q14" s="43"/>
      <c r="R14" s="38"/>
      <c r="T14" s="325" t="s">
        <v>242</v>
      </c>
      <c r="U14" s="404" t="s">
        <v>129</v>
      </c>
      <c r="V14" s="321">
        <v>5</v>
      </c>
      <c r="W14" s="321">
        <v>2.5</v>
      </c>
      <c r="X14" s="321">
        <v>3.5</v>
      </c>
      <c r="Y14" s="321" t="s">
        <v>110</v>
      </c>
      <c r="Z14" s="321" t="s">
        <v>110</v>
      </c>
      <c r="AA14" s="321">
        <v>160</v>
      </c>
      <c r="AB14" s="321">
        <v>160</v>
      </c>
      <c r="AC14" s="321">
        <v>100</v>
      </c>
      <c r="AD14" s="321">
        <v>0.02</v>
      </c>
      <c r="AE14" s="321">
        <v>0.75</v>
      </c>
      <c r="AF14" s="415">
        <v>7.0000000000000001E-3</v>
      </c>
      <c r="AG14" s="415">
        <v>7.0000000000000001E-3</v>
      </c>
      <c r="AH14" s="415">
        <v>7.0000000000000001E-3</v>
      </c>
      <c r="AI14" s="415">
        <v>7.0000000000000001E-3</v>
      </c>
      <c r="AJ14" s="324"/>
      <c r="AK14" s="324"/>
      <c r="AL14" s="324"/>
      <c r="AM14" s="15"/>
      <c r="AN14" s="480"/>
      <c r="AO14" s="480"/>
      <c r="AP14" s="485"/>
      <c r="AQ14" s="485"/>
      <c r="AR14" s="485"/>
      <c r="AS14" s="485"/>
      <c r="AT14" s="84"/>
      <c r="AU14" s="519"/>
      <c r="AV14" s="520"/>
      <c r="AW14" s="520"/>
      <c r="AX14" s="520"/>
      <c r="AY14" s="520"/>
      <c r="AZ14" s="521"/>
      <c r="BA14" s="520"/>
      <c r="BB14" s="521"/>
      <c r="BC14" s="520"/>
      <c r="BD14" s="521"/>
      <c r="BE14" s="520"/>
      <c r="BF14" s="522"/>
      <c r="BG14" s="522"/>
      <c r="BH14" s="523"/>
      <c r="BI14" s="523"/>
      <c r="BJ14" s="523"/>
      <c r="BK14" s="16"/>
      <c r="BL14" s="16"/>
      <c r="BM14" s="16"/>
      <c r="BN14" s="16"/>
      <c r="BO14" s="16"/>
      <c r="BP14" s="16"/>
      <c r="BQ14" s="16"/>
      <c r="BR14" s="16"/>
      <c r="BS14" s="16"/>
      <c r="BT14" s="16"/>
      <c r="BU14" s="16"/>
      <c r="BV14" s="16"/>
      <c r="BW14" s="16"/>
      <c r="BX14" s="16"/>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16"/>
      <c r="DX14" s="18"/>
      <c r="EB14" s="20"/>
      <c r="EC14" s="27"/>
      <c r="ED14" s="33"/>
      <c r="EG14" s="44"/>
    </row>
    <row r="15" spans="1:137" ht="12.75" customHeight="1">
      <c r="A15" s="80"/>
      <c r="B15" s="234" t="s">
        <v>212</v>
      </c>
      <c r="C15" s="292" t="s">
        <v>266</v>
      </c>
      <c r="D15" s="1373" t="str">
        <f>VLOOKUP($C$15,$T$8:$AE$97,2, FALSE)&amp;" (ASCE 7-10 Table 12.2-1)"</f>
        <v>Steel special concentrically braced frames (ASCE 7-10 Table 12.2-1)</v>
      </c>
      <c r="E15" s="1402"/>
      <c r="F15" s="1402"/>
      <c r="G15" s="83"/>
      <c r="H15" s="55"/>
      <c r="I15" s="66" t="s">
        <v>20</v>
      </c>
      <c r="J15" s="57"/>
      <c r="K15" s="69" t="s">
        <v>36</v>
      </c>
      <c r="L15" s="45" t="s">
        <v>37</v>
      </c>
      <c r="M15" s="46" t="s">
        <v>64</v>
      </c>
      <c r="N15" s="46" t="s">
        <v>65</v>
      </c>
      <c r="O15" s="46" t="s">
        <v>66</v>
      </c>
      <c r="P15" s="46" t="s">
        <v>67</v>
      </c>
      <c r="Q15" s="46" t="s">
        <v>68</v>
      </c>
      <c r="R15" s="25" t="s">
        <v>56</v>
      </c>
      <c r="T15" s="325" t="s">
        <v>243</v>
      </c>
      <c r="U15" s="404" t="s">
        <v>130</v>
      </c>
      <c r="V15" s="321">
        <v>3.5</v>
      </c>
      <c r="W15" s="321">
        <v>2.5</v>
      </c>
      <c r="X15" s="321">
        <v>2.25</v>
      </c>
      <c r="Y15" s="321" t="s">
        <v>110</v>
      </c>
      <c r="Z15" s="321" t="s">
        <v>110</v>
      </c>
      <c r="AA15" s="321" t="s">
        <v>112</v>
      </c>
      <c r="AB15" s="321" t="s">
        <v>112</v>
      </c>
      <c r="AC15" s="321" t="s">
        <v>112</v>
      </c>
      <c r="AD15" s="321">
        <v>0.02</v>
      </c>
      <c r="AE15" s="321">
        <v>0.75</v>
      </c>
      <c r="AF15" s="415">
        <v>7.0000000000000001E-3</v>
      </c>
      <c r="AG15" s="415">
        <v>7.0000000000000001E-3</v>
      </c>
      <c r="AH15" s="415">
        <v>7.0000000000000001E-3</v>
      </c>
      <c r="AI15" s="415">
        <v>7.0000000000000001E-3</v>
      </c>
      <c r="AJ15" s="324"/>
      <c r="AK15" s="324"/>
      <c r="AL15" s="324"/>
      <c r="AM15" s="15"/>
      <c r="AN15" s="236"/>
      <c r="AO15" s="236"/>
      <c r="AP15" s="484"/>
      <c r="AQ15" s="484"/>
      <c r="AR15" s="484"/>
      <c r="AS15" s="484"/>
      <c r="AT15" s="15"/>
      <c r="AU15" s="519"/>
      <c r="AV15" s="520"/>
      <c r="AW15" s="520"/>
      <c r="AX15" s="520"/>
      <c r="AY15" s="520"/>
      <c r="AZ15" s="521"/>
      <c r="BA15" s="520"/>
      <c r="BB15" s="521"/>
      <c r="BC15" s="520"/>
      <c r="BD15" s="521"/>
      <c r="BE15" s="520"/>
      <c r="BF15" s="522"/>
      <c r="BG15" s="522"/>
      <c r="BH15" s="524"/>
      <c r="BI15" s="524"/>
      <c r="BJ15" s="524"/>
      <c r="BK15" s="16"/>
      <c r="BL15" s="16"/>
      <c r="BM15" s="16"/>
      <c r="BN15" s="16"/>
      <c r="BO15" s="16"/>
      <c r="BP15" s="16"/>
      <c r="BQ15" s="16"/>
      <c r="BR15" s="16"/>
      <c r="BS15" s="16"/>
      <c r="BT15" s="16"/>
      <c r="BU15" s="16"/>
      <c r="BV15" s="16"/>
      <c r="BW15" s="16"/>
      <c r="BX15" s="16"/>
      <c r="BY15" s="16"/>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8"/>
      <c r="EB15" s="20"/>
      <c r="EC15" s="27"/>
      <c r="ED15" s="33"/>
      <c r="EG15" s="44"/>
    </row>
    <row r="16" spans="1:137" ht="12.75" customHeight="1">
      <c r="A16" s="319"/>
      <c r="B16" s="38"/>
      <c r="C16" s="38"/>
      <c r="D16" s="1402"/>
      <c r="E16" s="1402"/>
      <c r="F16" s="1402"/>
      <c r="G16" s="55"/>
      <c r="H16" s="55"/>
      <c r="I16" s="66" t="s">
        <v>21</v>
      </c>
      <c r="J16" s="57"/>
      <c r="K16" s="27">
        <v>1</v>
      </c>
      <c r="L16" s="52" t="s">
        <v>29</v>
      </c>
      <c r="M16" s="92">
        <v>0.8</v>
      </c>
      <c r="N16" s="92">
        <v>0.8</v>
      </c>
      <c r="O16" s="92">
        <v>0.8</v>
      </c>
      <c r="P16" s="92">
        <v>0.8</v>
      </c>
      <c r="Q16" s="92">
        <v>0.8</v>
      </c>
      <c r="R16" s="60">
        <v>0.8</v>
      </c>
      <c r="T16" s="325" t="s">
        <v>244</v>
      </c>
      <c r="U16" s="404" t="s">
        <v>131</v>
      </c>
      <c r="V16" s="321">
        <v>2</v>
      </c>
      <c r="W16" s="321">
        <v>2.5</v>
      </c>
      <c r="X16" s="321">
        <v>1.75</v>
      </c>
      <c r="Y16" s="321" t="s">
        <v>110</v>
      </c>
      <c r="Z16" s="321">
        <v>160</v>
      </c>
      <c r="AA16" s="321" t="s">
        <v>112</v>
      </c>
      <c r="AB16" s="321" t="s">
        <v>112</v>
      </c>
      <c r="AC16" s="321" t="s">
        <v>112</v>
      </c>
      <c r="AD16" s="321">
        <v>0.02</v>
      </c>
      <c r="AE16" s="321">
        <v>0.75</v>
      </c>
      <c r="AF16" s="415">
        <v>7.0000000000000001E-3</v>
      </c>
      <c r="AG16" s="415">
        <v>7.0000000000000001E-3</v>
      </c>
      <c r="AH16" s="415">
        <v>7.0000000000000001E-3</v>
      </c>
      <c r="AI16" s="415">
        <v>7.0000000000000001E-3</v>
      </c>
      <c r="AJ16" s="324"/>
      <c r="AK16" s="324"/>
      <c r="AL16" s="324"/>
      <c r="AM16" s="15"/>
      <c r="AN16" s="236"/>
      <c r="AO16" s="236"/>
      <c r="AP16" s="484"/>
      <c r="AQ16" s="484"/>
      <c r="AR16" s="484"/>
      <c r="AS16" s="484"/>
      <c r="AT16" s="15"/>
      <c r="AU16" s="519"/>
      <c r="AV16" s="520"/>
      <c r="AW16" s="520"/>
      <c r="AX16" s="520"/>
      <c r="AY16" s="520"/>
      <c r="AZ16" s="521"/>
      <c r="BA16" s="520"/>
      <c r="BB16" s="521"/>
      <c r="BC16" s="520"/>
      <c r="BD16" s="521"/>
      <c r="BE16" s="520"/>
      <c r="BF16" s="522"/>
      <c r="BG16" s="523"/>
      <c r="BH16" s="524"/>
      <c r="BI16" s="524"/>
      <c r="BJ16" s="524"/>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8"/>
      <c r="EB16" s="20"/>
      <c r="EC16" s="27"/>
      <c r="ED16" s="33"/>
      <c r="EG16" s="44"/>
    </row>
    <row r="17" spans="1:137" ht="12.75" customHeight="1">
      <c r="A17" s="319"/>
      <c r="B17" s="38"/>
      <c r="C17" s="38"/>
      <c r="D17" s="1402"/>
      <c r="E17" s="1402"/>
      <c r="F17" s="1402"/>
      <c r="G17" s="55"/>
      <c r="H17" s="55"/>
      <c r="I17" s="66" t="s">
        <v>22</v>
      </c>
      <c r="J17" s="57"/>
      <c r="K17" s="27">
        <v>2</v>
      </c>
      <c r="L17" s="59" t="s">
        <v>31</v>
      </c>
      <c r="M17" s="93">
        <v>1</v>
      </c>
      <c r="N17" s="93">
        <v>1</v>
      </c>
      <c r="O17" s="93">
        <v>1</v>
      </c>
      <c r="P17" s="93">
        <v>1</v>
      </c>
      <c r="Q17" s="93">
        <v>1</v>
      </c>
      <c r="R17" s="60">
        <v>1</v>
      </c>
      <c r="T17" s="325" t="s">
        <v>245</v>
      </c>
      <c r="U17" s="404" t="s">
        <v>115</v>
      </c>
      <c r="V17" s="539">
        <v>2</v>
      </c>
      <c r="W17" s="321">
        <v>2.5</v>
      </c>
      <c r="X17" s="321">
        <v>1.75</v>
      </c>
      <c r="Y17" s="321" t="s">
        <v>110</v>
      </c>
      <c r="Z17" s="321" t="s">
        <v>112</v>
      </c>
      <c r="AA17" s="321" t="s">
        <v>112</v>
      </c>
      <c r="AB17" s="321" t="s">
        <v>112</v>
      </c>
      <c r="AC17" s="321" t="s">
        <v>112</v>
      </c>
      <c r="AD17" s="321">
        <v>0.02</v>
      </c>
      <c r="AE17" s="321">
        <v>0.75</v>
      </c>
      <c r="AF17" s="415">
        <v>7.0000000000000001E-3</v>
      </c>
      <c r="AG17" s="415">
        <v>7.0000000000000001E-3</v>
      </c>
      <c r="AH17" s="415">
        <v>7.0000000000000001E-3</v>
      </c>
      <c r="AI17" s="415">
        <v>7.0000000000000001E-3</v>
      </c>
      <c r="AJ17" s="324"/>
      <c r="AK17" s="324"/>
      <c r="AL17" s="324"/>
      <c r="AM17" s="15"/>
      <c r="AN17" s="61"/>
      <c r="AO17" s="62"/>
      <c r="AP17" s="62"/>
      <c r="AQ17" s="63"/>
      <c r="AR17" s="495"/>
      <c r="AS17" s="495"/>
      <c r="AT17" s="15"/>
      <c r="AU17" s="519"/>
      <c r="AV17" s="520"/>
      <c r="AW17" s="520"/>
      <c r="AX17" s="520"/>
      <c r="AY17" s="520"/>
      <c r="AZ17" s="521"/>
      <c r="BA17" s="520"/>
      <c r="BB17" s="521"/>
      <c r="BC17" s="520"/>
      <c r="BD17" s="521"/>
      <c r="BE17" s="520"/>
      <c r="BF17" s="522"/>
      <c r="BG17" s="524"/>
      <c r="BH17" s="524"/>
      <c r="BI17" s="524"/>
      <c r="BJ17" s="524"/>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8"/>
      <c r="EB17" s="20"/>
      <c r="EC17" s="27"/>
      <c r="ED17" s="33"/>
      <c r="EG17" s="44"/>
    </row>
    <row r="18" spans="1:137" ht="12.75" customHeight="1">
      <c r="A18" s="80"/>
      <c r="B18" s="55"/>
      <c r="C18" s="55"/>
      <c r="D18" s="1402"/>
      <c r="E18" s="1402"/>
      <c r="F18" s="1402"/>
      <c r="G18" s="20"/>
      <c r="H18" s="83"/>
      <c r="I18" s="66" t="s">
        <v>229</v>
      </c>
      <c r="J18" s="57"/>
      <c r="K18" s="27">
        <v>3</v>
      </c>
      <c r="L18" s="59" t="s">
        <v>33</v>
      </c>
      <c r="M18" s="93">
        <v>1.7</v>
      </c>
      <c r="N18" s="93">
        <v>1.6</v>
      </c>
      <c r="O18" s="93">
        <v>1.5</v>
      </c>
      <c r="P18" s="93">
        <v>1.4</v>
      </c>
      <c r="Q18" s="93">
        <v>1.3</v>
      </c>
      <c r="R18" s="44">
        <f>IF($C$13&lt;=0.1,1.7,IF(AND($C$13&gt;0.1,$C$13&lt;=0.2),(1.6-1.7)*($C$13-0.1)/(0.2-0.1)+1.7,IF(AND($C$13&gt;0.2,$C$13&lt;=0.3),(1.5-1.6)*($C$13-0.2)/(0.3-0.2)+1.6,IF(AND($C$13&gt;0.3,$C$13&lt;=0.4),(1.4-1.5)*($C$13-0.3)/(0.4-0.3)+1.5,IF(AND($C$13&gt;0.4,$C$13&lt;=0.5),(1.3-1.4)*($C$13-0.4)/(0.5-0.4)+1.4,1.3)))))</f>
        <v>1.693697</v>
      </c>
      <c r="T18" s="325" t="s">
        <v>246</v>
      </c>
      <c r="U18" s="404" t="s">
        <v>116</v>
      </c>
      <c r="V18" s="321">
        <v>1.5</v>
      </c>
      <c r="W18" s="321">
        <v>2.5</v>
      </c>
      <c r="X18" s="321">
        <v>1.25</v>
      </c>
      <c r="Y18" s="321" t="s">
        <v>110</v>
      </c>
      <c r="Z18" s="321" t="s">
        <v>112</v>
      </c>
      <c r="AA18" s="321" t="s">
        <v>112</v>
      </c>
      <c r="AB18" s="321" t="s">
        <v>112</v>
      </c>
      <c r="AC18" s="321" t="s">
        <v>112</v>
      </c>
      <c r="AD18" s="321">
        <v>0.02</v>
      </c>
      <c r="AE18" s="321">
        <v>0.75</v>
      </c>
      <c r="AF18" s="415">
        <v>7.0000000000000001E-3</v>
      </c>
      <c r="AG18" s="415">
        <v>7.0000000000000001E-3</v>
      </c>
      <c r="AH18" s="415">
        <v>7.0000000000000001E-3</v>
      </c>
      <c r="AI18" s="415">
        <v>7.0000000000000001E-3</v>
      </c>
      <c r="AJ18" s="324"/>
      <c r="AK18" s="324"/>
      <c r="AL18" s="324"/>
      <c r="AM18" s="15"/>
      <c r="AN18" s="1375"/>
      <c r="AO18" s="1376"/>
      <c r="AP18" s="1376"/>
      <c r="AQ18" s="1376"/>
      <c r="AR18" s="1376"/>
      <c r="AS18" s="1376"/>
      <c r="AT18" s="15"/>
      <c r="AU18" s="519"/>
      <c r="AV18" s="520"/>
      <c r="AW18" s="520"/>
      <c r="AX18" s="520"/>
      <c r="AY18" s="520"/>
      <c r="AZ18" s="521"/>
      <c r="BA18" s="520"/>
      <c r="BB18" s="521"/>
      <c r="BC18" s="520"/>
      <c r="BD18" s="521"/>
      <c r="BE18" s="520"/>
      <c r="BF18" s="522"/>
      <c r="BG18" s="524"/>
      <c r="BH18" s="524"/>
      <c r="BI18" s="524"/>
      <c r="BJ18" s="524"/>
      <c r="BK18" s="15"/>
      <c r="BL18" s="15"/>
      <c r="BM18" s="15"/>
      <c r="BN18" s="15"/>
      <c r="BO18" s="15"/>
      <c r="BP18" s="15"/>
      <c r="BQ18" s="15"/>
      <c r="BR18" s="15"/>
      <c r="BS18" s="15"/>
      <c r="BT18" s="15"/>
      <c r="BU18" s="15"/>
      <c r="BV18" s="15"/>
      <c r="BW18" s="15"/>
      <c r="BX18" s="15"/>
      <c r="BY18" s="16"/>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7"/>
      <c r="DY18" s="16"/>
      <c r="DZ18" s="16"/>
      <c r="EA18" s="16"/>
      <c r="EB18" s="20"/>
      <c r="EC18" s="27"/>
      <c r="ED18" s="33"/>
      <c r="EG18" s="44"/>
    </row>
    <row r="19" spans="1:137" ht="12.75" customHeight="1">
      <c r="A19" s="144" t="s">
        <v>227</v>
      </c>
      <c r="B19" s="55"/>
      <c r="C19" s="55"/>
      <c r="D19" s="55"/>
      <c r="E19" s="55"/>
      <c r="F19" s="55"/>
      <c r="G19" s="83"/>
      <c r="H19" s="83"/>
      <c r="I19" s="88"/>
      <c r="J19" s="91"/>
      <c r="K19" s="27">
        <v>4</v>
      </c>
      <c r="L19" s="59" t="s">
        <v>32</v>
      </c>
      <c r="M19" s="93">
        <v>2.4</v>
      </c>
      <c r="N19" s="93">
        <v>2</v>
      </c>
      <c r="O19" s="93">
        <v>1.8</v>
      </c>
      <c r="P19" s="93">
        <v>1.6</v>
      </c>
      <c r="Q19" s="93">
        <v>1.5</v>
      </c>
      <c r="R19" s="44">
        <f>IF($C$13&lt;=0.1,2.4,IF(AND($C$13&gt;0.1,$C$13&lt;=0.2),(2-2.4)*($C$13-0.1)/(0.2-0.1)+2.4,IF(AND($C$13&gt;0.2,$C$13&lt;=0.3),(1.8-2)*($C$13-0.2)/(0.3-0.2)+2,IF(AND($C$13&gt;0.3,$C$13&lt;=0.4),(1.6-1.8)*($C$13-0.3)/(0.4-0.3)+1.8,IF(AND($C$13&gt;0.4,$C$13&lt;=0.5),(1.5-1.6)*($C$13-0.4)/(0.5-0.4)+1.6,1.5)))))</f>
        <v>2.3747880000000001</v>
      </c>
      <c r="T19" s="342" t="s">
        <v>247</v>
      </c>
      <c r="U19" s="405" t="s">
        <v>254</v>
      </c>
      <c r="V19" s="321">
        <v>1.5</v>
      </c>
      <c r="W19" s="321">
        <v>2.5</v>
      </c>
      <c r="X19" s="321">
        <v>1.75</v>
      </c>
      <c r="Y19" s="321" t="s">
        <v>110</v>
      </c>
      <c r="Z19" s="321" t="s">
        <v>112</v>
      </c>
      <c r="AA19" s="321" t="s">
        <v>112</v>
      </c>
      <c r="AB19" s="321" t="s">
        <v>112</v>
      </c>
      <c r="AC19" s="321" t="s">
        <v>112</v>
      </c>
      <c r="AD19" s="321">
        <v>0.02</v>
      </c>
      <c r="AE19" s="321">
        <v>0.75</v>
      </c>
      <c r="AF19" s="415">
        <v>7.0000000000000001E-3</v>
      </c>
      <c r="AG19" s="415">
        <v>7.0000000000000001E-3</v>
      </c>
      <c r="AH19" s="415">
        <v>7.0000000000000001E-3</v>
      </c>
      <c r="AI19" s="415">
        <v>7.0000000000000001E-3</v>
      </c>
      <c r="AJ19" s="324"/>
      <c r="AK19" s="324"/>
      <c r="AL19" s="324"/>
      <c r="AM19" s="48"/>
      <c r="AN19" s="236"/>
      <c r="AO19" s="236"/>
      <c r="AP19" s="484"/>
      <c r="AQ19" s="484"/>
      <c r="AR19" s="484"/>
      <c r="AS19" s="484"/>
      <c r="AT19" s="48"/>
      <c r="AU19" s="519"/>
      <c r="AV19" s="520"/>
      <c r="AW19" s="520"/>
      <c r="AX19" s="520"/>
      <c r="AY19" s="520"/>
      <c r="AZ19" s="521"/>
      <c r="BA19" s="520"/>
      <c r="BB19" s="521"/>
      <c r="BC19" s="520"/>
      <c r="BD19" s="521"/>
      <c r="BE19" s="520"/>
      <c r="BF19" s="522"/>
      <c r="BG19" s="524"/>
      <c r="BH19" s="524"/>
      <c r="BI19" s="524"/>
      <c r="BJ19" s="524"/>
      <c r="BK19" s="48"/>
      <c r="BL19" s="48"/>
      <c r="BM19" s="48"/>
      <c r="BN19" s="48"/>
      <c r="BO19" s="48"/>
      <c r="BP19" s="48"/>
      <c r="BQ19" s="48"/>
      <c r="BR19" s="48"/>
      <c r="BS19" s="48"/>
      <c r="BT19" s="48"/>
      <c r="BU19" s="48"/>
      <c r="BV19" s="48"/>
      <c r="BW19" s="48"/>
      <c r="BX19" s="48"/>
      <c r="BY19" s="16"/>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17"/>
      <c r="DY19" s="16"/>
      <c r="DZ19" s="16"/>
      <c r="EA19" s="16"/>
      <c r="EB19" s="20"/>
      <c r="EC19" s="27"/>
      <c r="ED19" s="33"/>
      <c r="EG19" s="44"/>
    </row>
    <row r="20" spans="1:137" ht="12.75" customHeight="1">
      <c r="A20" s="80"/>
      <c r="B20" s="67" t="s">
        <v>92</v>
      </c>
      <c r="C20" s="263">
        <v>3</v>
      </c>
      <c r="D20" s="55"/>
      <c r="E20" s="55"/>
      <c r="F20" s="55"/>
      <c r="G20" s="89"/>
      <c r="H20" s="55"/>
      <c r="I20" s="90"/>
      <c r="J20" s="91"/>
      <c r="K20" s="27">
        <v>5</v>
      </c>
      <c r="L20" s="59" t="s">
        <v>35</v>
      </c>
      <c r="M20" s="93">
        <v>3.5</v>
      </c>
      <c r="N20" s="93">
        <v>3.2</v>
      </c>
      <c r="O20" s="93">
        <v>2.8</v>
      </c>
      <c r="P20" s="93">
        <v>2.4</v>
      </c>
      <c r="Q20" s="93">
        <v>2.4</v>
      </c>
      <c r="R20" s="44">
        <f>IF($C$13&lt;=0.1,3.5,IF(AND($C$13&gt;0.1,$C$13&lt;=0.2),(3.2-3.5)*($C$13-0.1)/(0.2-0.1)+3.5,IF(AND($C$13&gt;0.2,$C$13&lt;=0.3),(2.8-3.2)*($C$13-0.2)/(0.3-0.2)+3.2,IF(AND($C$13&gt;0.3,$C$13&lt;=0.4),(2.4-2.8)*($C$13-0.3)/(0.4-0.3)+2.8,IF(AND($C$13&gt;0.4,$C$13&lt;=0.5),2.4,2.4)))))</f>
        <v>3.4810910000000002</v>
      </c>
      <c r="T20" s="342" t="s">
        <v>248</v>
      </c>
      <c r="U20" s="502" t="s">
        <v>417</v>
      </c>
      <c r="V20" s="341">
        <v>2</v>
      </c>
      <c r="W20" s="341">
        <v>2.5</v>
      </c>
      <c r="X20" s="341">
        <v>2</v>
      </c>
      <c r="Y20" s="341" t="s">
        <v>110</v>
      </c>
      <c r="Z20" s="341">
        <v>35</v>
      </c>
      <c r="AA20" s="341" t="s">
        <v>112</v>
      </c>
      <c r="AB20" s="341" t="s">
        <v>112</v>
      </c>
      <c r="AC20" s="341" t="s">
        <v>112</v>
      </c>
      <c r="AD20" s="341">
        <v>0.02</v>
      </c>
      <c r="AE20" s="341">
        <v>0.75</v>
      </c>
      <c r="AF20" s="415">
        <v>7.0000000000000001E-3</v>
      </c>
      <c r="AG20" s="415">
        <v>7.0000000000000001E-3</v>
      </c>
      <c r="AH20" s="415">
        <v>7.0000000000000001E-3</v>
      </c>
      <c r="AI20" s="415">
        <v>7.0000000000000001E-3</v>
      </c>
      <c r="AJ20" s="324"/>
      <c r="AK20" s="324"/>
      <c r="AL20" s="324"/>
      <c r="AM20" s="48"/>
      <c r="AN20" s="236"/>
      <c r="AO20" s="236"/>
      <c r="AP20" s="484"/>
      <c r="AQ20" s="484"/>
      <c r="AR20" s="484"/>
      <c r="AS20" s="484"/>
      <c r="AT20" s="48"/>
      <c r="AU20" s="519"/>
      <c r="AV20" s="520"/>
      <c r="AW20" s="520"/>
      <c r="AX20" s="520"/>
      <c r="AY20" s="520"/>
      <c r="AZ20" s="521"/>
      <c r="BA20" s="520"/>
      <c r="BB20" s="521"/>
      <c r="BC20" s="520"/>
      <c r="BD20" s="521"/>
      <c r="BE20" s="520"/>
      <c r="BF20" s="522"/>
      <c r="BG20" s="522"/>
      <c r="BH20" s="523"/>
      <c r="BI20" s="523"/>
      <c r="BJ20" s="523"/>
      <c r="BK20" s="48"/>
      <c r="BL20" s="48"/>
      <c r="BM20" s="48"/>
      <c r="BN20" s="48"/>
      <c r="BO20" s="48"/>
      <c r="BP20" s="48"/>
      <c r="BQ20" s="48"/>
      <c r="BR20" s="48"/>
      <c r="BS20" s="48"/>
      <c r="BT20" s="48"/>
      <c r="BU20" s="48"/>
      <c r="BV20" s="48"/>
      <c r="BW20" s="48"/>
      <c r="BX20" s="48"/>
      <c r="BY20" s="16"/>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17"/>
      <c r="DY20" s="16"/>
      <c r="DZ20" s="16"/>
      <c r="EA20" s="16"/>
      <c r="EB20" s="20"/>
      <c r="EC20" s="50"/>
      <c r="ED20" s="70"/>
    </row>
    <row r="21" spans="1:137" ht="12.75" customHeight="1">
      <c r="A21" s="80"/>
      <c r="B21" s="55"/>
      <c r="C21" s="55"/>
      <c r="D21" s="55"/>
      <c r="E21" s="55"/>
      <c r="F21" s="380" t="s">
        <v>124</v>
      </c>
      <c r="G21" s="378"/>
      <c r="H21" s="378"/>
      <c r="I21" s="379"/>
      <c r="J21" s="57"/>
      <c r="K21" s="13">
        <v>6</v>
      </c>
      <c r="L21" s="74" t="s">
        <v>36</v>
      </c>
      <c r="M21" s="103" t="s">
        <v>38</v>
      </c>
      <c r="N21" s="103" t="s">
        <v>38</v>
      </c>
      <c r="O21" s="103" t="s">
        <v>38</v>
      </c>
      <c r="P21" s="103" t="s">
        <v>38</v>
      </c>
      <c r="Q21" s="103" t="s">
        <v>38</v>
      </c>
      <c r="R21" s="27" t="s">
        <v>38</v>
      </c>
      <c r="T21" s="342" t="s">
        <v>250</v>
      </c>
      <c r="U21" s="502" t="s">
        <v>418</v>
      </c>
      <c r="V21" s="341">
        <v>1.5</v>
      </c>
      <c r="W21" s="341">
        <v>2.5</v>
      </c>
      <c r="X21" s="341">
        <v>1.5</v>
      </c>
      <c r="Y21" s="341" t="s">
        <v>110</v>
      </c>
      <c r="Z21" s="341" t="s">
        <v>112</v>
      </c>
      <c r="AA21" s="341" t="s">
        <v>112</v>
      </c>
      <c r="AB21" s="341" t="s">
        <v>112</v>
      </c>
      <c r="AC21" s="341" t="s">
        <v>112</v>
      </c>
      <c r="AD21" s="341">
        <v>0.02</v>
      </c>
      <c r="AE21" s="341">
        <v>0.75</v>
      </c>
      <c r="AF21" s="415">
        <v>7.0000000000000001E-3</v>
      </c>
      <c r="AG21" s="415">
        <v>7.0000000000000001E-3</v>
      </c>
      <c r="AH21" s="415">
        <v>7.0000000000000001E-3</v>
      </c>
      <c r="AI21" s="415">
        <v>7.0000000000000001E-3</v>
      </c>
      <c r="AJ21" s="324"/>
      <c r="AK21" s="324"/>
      <c r="AL21" s="324"/>
      <c r="AM21" s="48"/>
      <c r="AN21" s="236"/>
      <c r="AO21" s="236"/>
      <c r="AP21" s="484"/>
      <c r="AQ21" s="484"/>
      <c r="AR21" s="484"/>
      <c r="AS21" s="484"/>
      <c r="AT21" s="48"/>
      <c r="AU21" s="519"/>
      <c r="AV21" s="520"/>
      <c r="AW21" s="520"/>
      <c r="AX21" s="520"/>
      <c r="AY21" s="520"/>
      <c r="AZ21" s="521"/>
      <c r="BA21" s="520"/>
      <c r="BB21" s="521"/>
      <c r="BC21" s="520"/>
      <c r="BD21" s="521"/>
      <c r="BE21" s="520"/>
      <c r="BF21" s="522"/>
      <c r="BG21" s="522"/>
      <c r="BH21" s="523"/>
      <c r="BI21" s="524"/>
      <c r="BJ21" s="524"/>
      <c r="BK21" s="48"/>
      <c r="BL21" s="48"/>
      <c r="BM21" s="48"/>
      <c r="BN21" s="48"/>
      <c r="BO21" s="48"/>
      <c r="BP21" s="48"/>
      <c r="BQ21" s="48"/>
      <c r="BR21" s="48"/>
      <c r="BS21" s="48"/>
      <c r="BT21" s="48"/>
      <c r="BU21" s="48"/>
      <c r="BV21" s="48"/>
      <c r="BW21" s="48"/>
      <c r="BX21" s="48"/>
      <c r="BY21" s="16"/>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17"/>
      <c r="DY21" s="16"/>
      <c r="DZ21" s="16"/>
      <c r="EA21" s="16"/>
      <c r="EB21" s="20"/>
      <c r="EC21" s="50"/>
      <c r="ED21" s="70"/>
    </row>
    <row r="22" spans="1:137" ht="12.75" customHeight="1">
      <c r="A22" s="80"/>
      <c r="B22" s="151" t="s">
        <v>88</v>
      </c>
      <c r="C22" s="260" t="s">
        <v>105</v>
      </c>
      <c r="D22" s="411" t="s">
        <v>8</v>
      </c>
      <c r="E22" s="259" t="s">
        <v>11</v>
      </c>
      <c r="F22" s="381" t="s">
        <v>0</v>
      </c>
      <c r="G22" s="378"/>
      <c r="H22" s="378"/>
      <c r="I22" s="379"/>
      <c r="J22" s="57"/>
      <c r="K22" s="13">
        <v>7</v>
      </c>
      <c r="N22" s="27"/>
      <c r="O22" s="19"/>
      <c r="T22" s="325" t="s">
        <v>251</v>
      </c>
      <c r="U22" s="505" t="s">
        <v>256</v>
      </c>
      <c r="V22" s="321">
        <v>6.5</v>
      </c>
      <c r="W22" s="321">
        <v>3</v>
      </c>
      <c r="X22" s="321">
        <v>4</v>
      </c>
      <c r="Y22" s="321" t="s">
        <v>110</v>
      </c>
      <c r="Z22" s="321" t="s">
        <v>110</v>
      </c>
      <c r="AA22" s="321">
        <v>65</v>
      </c>
      <c r="AB22" s="321">
        <v>65</v>
      </c>
      <c r="AC22" s="321">
        <v>65</v>
      </c>
      <c r="AD22" s="321">
        <v>0.02</v>
      </c>
      <c r="AE22" s="321">
        <v>0.75</v>
      </c>
      <c r="AF22" s="417">
        <v>0.02</v>
      </c>
      <c r="AG22" s="417">
        <v>0.02</v>
      </c>
      <c r="AH22" s="417">
        <v>1.4999999999999999E-2</v>
      </c>
      <c r="AI22" s="417">
        <v>0.01</v>
      </c>
      <c r="AL22" s="303"/>
      <c r="AM22" s="48"/>
      <c r="AN22" s="236"/>
      <c r="AO22" s="236"/>
      <c r="AP22" s="484"/>
      <c r="AQ22" s="484"/>
      <c r="AR22" s="484"/>
      <c r="AS22" s="484"/>
      <c r="AT22" s="48"/>
      <c r="AU22" s="519"/>
      <c r="AV22" s="520"/>
      <c r="AW22" s="520"/>
      <c r="AX22" s="520"/>
      <c r="AY22" s="520"/>
      <c r="AZ22" s="521"/>
      <c r="BA22" s="520"/>
      <c r="BB22" s="521"/>
      <c r="BC22" s="520"/>
      <c r="BD22" s="521"/>
      <c r="BE22" s="520"/>
      <c r="BF22" s="522"/>
      <c r="BG22" s="522"/>
      <c r="BH22" s="523"/>
      <c r="BI22" s="523"/>
      <c r="BJ22" s="523"/>
      <c r="BK22" s="48"/>
      <c r="BL22" s="48"/>
      <c r="BM22" s="48"/>
      <c r="BN22" s="48"/>
      <c r="BO22" s="48"/>
      <c r="BP22" s="48"/>
      <c r="BQ22" s="48"/>
      <c r="BR22" s="48"/>
      <c r="BS22" s="48"/>
      <c r="BT22" s="48"/>
      <c r="BU22" s="48"/>
      <c r="BV22" s="48"/>
      <c r="BW22" s="48"/>
      <c r="BX22" s="48"/>
      <c r="BY22" s="16"/>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17"/>
      <c r="DY22" s="16"/>
      <c r="DZ22" s="16"/>
      <c r="EA22" s="16"/>
      <c r="EB22" s="20"/>
      <c r="EC22" s="27"/>
      <c r="ED22" s="100"/>
      <c r="EG22" s="44"/>
    </row>
    <row r="23" spans="1:137" ht="12.75" customHeight="1">
      <c r="A23" s="80"/>
      <c r="B23" s="154" t="s">
        <v>98</v>
      </c>
      <c r="C23" s="261" t="s">
        <v>91</v>
      </c>
      <c r="D23" s="412" t="s">
        <v>5</v>
      </c>
      <c r="E23" s="412" t="s">
        <v>10</v>
      </c>
      <c r="F23" s="55"/>
      <c r="G23" s="55"/>
      <c r="H23" s="55"/>
      <c r="I23" s="90"/>
      <c r="J23" s="57"/>
      <c r="K23" s="25">
        <v>8</v>
      </c>
      <c r="L23" s="181" t="s">
        <v>346</v>
      </c>
      <c r="M23" s="528" t="str">
        <f>$C$8</f>
        <v>I</v>
      </c>
      <c r="N23" s="508" t="s">
        <v>406</v>
      </c>
      <c r="T23" s="506" t="s">
        <v>414</v>
      </c>
      <c r="U23" s="502" t="s">
        <v>419</v>
      </c>
      <c r="V23" s="341">
        <v>6.5</v>
      </c>
      <c r="W23" s="341">
        <v>3</v>
      </c>
      <c r="X23" s="341">
        <v>4</v>
      </c>
      <c r="Y23" s="341" t="s">
        <v>110</v>
      </c>
      <c r="Z23" s="341" t="s">
        <v>110</v>
      </c>
      <c r="AA23" s="341">
        <v>65</v>
      </c>
      <c r="AB23" s="341">
        <v>65</v>
      </c>
      <c r="AC23" s="341">
        <v>65</v>
      </c>
      <c r="AD23" s="341">
        <v>0.02</v>
      </c>
      <c r="AE23" s="341">
        <v>0.75</v>
      </c>
      <c r="AF23" s="417">
        <v>0.02</v>
      </c>
      <c r="AG23" s="417">
        <v>0.02</v>
      </c>
      <c r="AH23" s="415">
        <v>1.4999999999999999E-2</v>
      </c>
      <c r="AI23" s="415">
        <v>0.01</v>
      </c>
      <c r="AJ23" s="303"/>
      <c r="AK23" s="303"/>
      <c r="AL23" s="324"/>
      <c r="AM23" s="48"/>
      <c r="AN23" s="236"/>
      <c r="AO23" s="236"/>
      <c r="AP23" s="484"/>
      <c r="AQ23" s="484"/>
      <c r="AR23" s="484"/>
      <c r="AS23" s="484"/>
      <c r="AT23" s="48"/>
      <c r="AU23" s="517"/>
      <c r="AV23" s="518"/>
      <c r="AW23" s="518"/>
      <c r="AX23" s="518"/>
      <c r="AY23" s="518"/>
      <c r="AZ23" s="509"/>
      <c r="BA23" s="509"/>
      <c r="BB23" s="509"/>
      <c r="BC23" s="509"/>
      <c r="BD23" s="509"/>
      <c r="BE23" s="509"/>
      <c r="BF23" s="509"/>
      <c r="BG23" s="509"/>
      <c r="BH23" s="509"/>
      <c r="BI23" s="509"/>
      <c r="BJ23" s="509"/>
      <c r="BK23" s="48"/>
      <c r="BL23" s="48"/>
      <c r="BM23" s="48"/>
      <c r="BN23" s="48"/>
      <c r="BO23" s="48"/>
      <c r="BP23" s="48"/>
      <c r="BQ23" s="48"/>
      <c r="BR23" s="48"/>
      <c r="BS23" s="48"/>
      <c r="BT23" s="48"/>
      <c r="BU23" s="48"/>
      <c r="BV23" s="48"/>
      <c r="BW23" s="48"/>
      <c r="BX23" s="48"/>
      <c r="BY23" s="16"/>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17"/>
      <c r="DY23" s="16"/>
      <c r="DZ23" s="16"/>
      <c r="EA23" s="16"/>
      <c r="EB23" s="20"/>
      <c r="EC23" s="27"/>
      <c r="ED23" s="100"/>
      <c r="EG23" s="44"/>
    </row>
    <row r="24" spans="1:137" ht="12.75" customHeight="1">
      <c r="A24" s="80"/>
      <c r="B24" s="346">
        <f>$C$20</f>
        <v>3</v>
      </c>
      <c r="C24" s="352">
        <v>36</v>
      </c>
      <c r="D24" s="447">
        <v>1.25</v>
      </c>
      <c r="E24" s="116" t="str">
        <f>IF($D24="","",IF($D24&lt;=$G71,"O.K.","N.G."))</f>
        <v>O.K.</v>
      </c>
      <c r="F24" s="235" t="str">
        <f>IF($AG$105="N.P.","  WARNING: Seismic Resisting System which was","")</f>
        <v/>
      </c>
      <c r="G24" s="20"/>
      <c r="H24" s="20"/>
      <c r="I24" s="102"/>
      <c r="J24" s="57"/>
      <c r="K24" s="27">
        <v>9</v>
      </c>
      <c r="T24" s="325" t="s">
        <v>415</v>
      </c>
      <c r="U24" s="471" t="s">
        <v>264</v>
      </c>
      <c r="V24" s="321">
        <v>2</v>
      </c>
      <c r="W24" s="321">
        <v>2.5</v>
      </c>
      <c r="X24" s="321">
        <v>2</v>
      </c>
      <c r="Y24" s="321" t="s">
        <v>110</v>
      </c>
      <c r="Z24" s="321" t="s">
        <v>110</v>
      </c>
      <c r="AA24" s="321">
        <v>35</v>
      </c>
      <c r="AB24" s="321" t="s">
        <v>112</v>
      </c>
      <c r="AC24" s="321" t="s">
        <v>112</v>
      </c>
      <c r="AD24" s="321">
        <v>0.02</v>
      </c>
      <c r="AE24" s="321">
        <v>0.75</v>
      </c>
      <c r="AF24" s="417">
        <v>0.02</v>
      </c>
      <c r="AG24" s="417">
        <v>0.02</v>
      </c>
      <c r="AH24" s="415">
        <v>1.4999999999999999E-2</v>
      </c>
      <c r="AI24" s="415">
        <v>0.01</v>
      </c>
      <c r="AJ24" s="324"/>
      <c r="AK24" s="324"/>
      <c r="AL24" s="324"/>
      <c r="AM24" s="48"/>
      <c r="AN24" s="236"/>
      <c r="AO24" s="236"/>
      <c r="AP24" s="484"/>
      <c r="AQ24" s="484"/>
      <c r="AR24" s="484"/>
      <c r="AS24" s="484"/>
      <c r="AT24" s="48"/>
      <c r="AU24" s="519"/>
      <c r="AV24" s="520"/>
      <c r="AW24" s="520"/>
      <c r="AX24" s="520"/>
      <c r="AY24" s="520"/>
      <c r="AZ24" s="521"/>
      <c r="BA24" s="520"/>
      <c r="BB24" s="521"/>
      <c r="BC24" s="520"/>
      <c r="BD24" s="521"/>
      <c r="BE24" s="520"/>
      <c r="BF24" s="522"/>
      <c r="BG24" s="522"/>
      <c r="BH24" s="523"/>
      <c r="BI24" s="523"/>
      <c r="BJ24" s="523"/>
      <c r="BK24" s="48"/>
      <c r="BL24" s="48"/>
      <c r="BM24" s="48"/>
      <c r="BN24" s="48"/>
      <c r="BO24" s="48"/>
      <c r="BP24" s="48"/>
      <c r="BQ24" s="48"/>
      <c r="BR24" s="48"/>
      <c r="BS24" s="48"/>
      <c r="BT24" s="104"/>
      <c r="BU24" s="104"/>
      <c r="BV24" s="104"/>
      <c r="BW24" s="104"/>
      <c r="BX24" s="104"/>
      <c r="BY24" s="16"/>
      <c r="BZ24" s="104"/>
      <c r="CA24" s="104"/>
      <c r="CB24" s="104"/>
      <c r="CC24" s="104"/>
      <c r="CD24" s="104"/>
      <c r="CE24" s="104"/>
      <c r="CF24" s="104"/>
      <c r="CG24" s="104"/>
      <c r="CH24" s="104"/>
      <c r="CI24" s="104"/>
      <c r="CJ24" s="104"/>
      <c r="CK24" s="104"/>
      <c r="CL24" s="104"/>
      <c r="CM24" s="104"/>
      <c r="CN24" s="104"/>
      <c r="CO24" s="104"/>
      <c r="CP24" s="104"/>
      <c r="CQ24" s="104"/>
      <c r="CR24" s="104"/>
      <c r="CS24" s="104"/>
      <c r="CT24" s="104"/>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4"/>
      <c r="DS24" s="104"/>
      <c r="DT24" s="104"/>
      <c r="DU24" s="104"/>
      <c r="DV24" s="104"/>
      <c r="DW24" s="104"/>
      <c r="DX24" s="17"/>
      <c r="DY24" s="16"/>
      <c r="DZ24" s="16"/>
      <c r="EA24" s="16"/>
      <c r="EB24" s="20"/>
      <c r="EC24" s="27"/>
      <c r="ED24" s="100"/>
      <c r="EG24" s="44"/>
    </row>
    <row r="25" spans="1:137" ht="12.75" customHeight="1">
      <c r="A25" s="80"/>
      <c r="B25" s="347">
        <f>IF($C$20-1&lt;=0,"",($C$20-1))</f>
        <v>2</v>
      </c>
      <c r="C25" s="262">
        <v>24</v>
      </c>
      <c r="D25" s="327">
        <v>0.75</v>
      </c>
      <c r="E25" s="118" t="str">
        <f>IF($D25="","",IF($D25&lt;=$G72,"O.K.","N.G."))</f>
        <v>O.K.</v>
      </c>
      <c r="F25" s="235" t="str">
        <f>IF($AG$105="N.P.","                    selected is NOT Permitted!","")</f>
        <v/>
      </c>
      <c r="G25" s="108"/>
      <c r="H25" s="83"/>
      <c r="I25" s="90"/>
      <c r="J25" s="15"/>
      <c r="K25" s="27">
        <v>10</v>
      </c>
      <c r="L25" s="270" t="s">
        <v>462</v>
      </c>
      <c r="M25" s="112"/>
      <c r="N25" s="113"/>
      <c r="O25" s="114"/>
      <c r="P25" s="25"/>
      <c r="T25" s="501" t="s">
        <v>416</v>
      </c>
      <c r="U25" s="503" t="s">
        <v>420</v>
      </c>
      <c r="V25" s="341">
        <v>4</v>
      </c>
      <c r="W25" s="341">
        <v>2</v>
      </c>
      <c r="X25" s="341">
        <v>3.5</v>
      </c>
      <c r="Y25" s="341" t="s">
        <v>110</v>
      </c>
      <c r="Z25" s="341" t="s">
        <v>110</v>
      </c>
      <c r="AA25" s="341">
        <v>65</v>
      </c>
      <c r="AB25" s="341">
        <v>65</v>
      </c>
      <c r="AC25" s="341">
        <v>65</v>
      </c>
      <c r="AD25" s="341">
        <v>0.02</v>
      </c>
      <c r="AE25" s="341">
        <v>0.75</v>
      </c>
      <c r="AF25" s="417">
        <v>0.02</v>
      </c>
      <c r="AG25" s="417">
        <v>0.02</v>
      </c>
      <c r="AH25" s="417">
        <v>1.4999999999999999E-2</v>
      </c>
      <c r="AI25" s="417">
        <v>0.01</v>
      </c>
      <c r="AJ25" s="324"/>
      <c r="AK25" s="324"/>
      <c r="AL25" s="324"/>
      <c r="AM25" s="51"/>
      <c r="AN25" s="236"/>
      <c r="AO25" s="236"/>
      <c r="AP25" s="484"/>
      <c r="AQ25" s="484"/>
      <c r="AR25" s="484"/>
      <c r="AS25" s="484"/>
      <c r="AT25" s="51"/>
      <c r="AU25" s="519"/>
      <c r="AV25" s="520"/>
      <c r="AW25" s="520"/>
      <c r="AX25" s="520"/>
      <c r="AY25" s="520"/>
      <c r="AZ25" s="521"/>
      <c r="BA25" s="520"/>
      <c r="BB25" s="521"/>
      <c r="BC25" s="520"/>
      <c r="BD25" s="521"/>
      <c r="BE25" s="520"/>
      <c r="BF25" s="522"/>
      <c r="BG25" s="522"/>
      <c r="BH25" s="523"/>
      <c r="BI25" s="523"/>
      <c r="BJ25" s="523"/>
      <c r="BK25" s="106"/>
      <c r="BL25" s="106"/>
      <c r="BM25" s="106"/>
      <c r="BN25" s="106"/>
      <c r="BO25" s="106"/>
      <c r="BP25" s="106"/>
      <c r="BQ25" s="106"/>
      <c r="BR25" s="106"/>
      <c r="BS25" s="106"/>
      <c r="BT25" s="106"/>
      <c r="BU25" s="106"/>
      <c r="BV25" s="106"/>
      <c r="BW25" s="106"/>
      <c r="BX25" s="106"/>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17"/>
      <c r="DY25" s="16"/>
      <c r="DZ25" s="16"/>
      <c r="EA25" s="16"/>
      <c r="EB25" s="16"/>
      <c r="EC25" s="27"/>
      <c r="ED25" s="100"/>
      <c r="EG25" s="44"/>
    </row>
    <row r="26" spans="1:137" ht="12.75" customHeight="1">
      <c r="A26" s="80"/>
      <c r="B26" s="347">
        <f>IF($C$20-2&lt;=0,"",($C$20-2))</f>
        <v>1</v>
      </c>
      <c r="C26" s="262">
        <v>10</v>
      </c>
      <c r="D26" s="327">
        <v>0.35</v>
      </c>
      <c r="E26" s="118" t="str">
        <f t="shared" ref="E26:E38" si="0">IF($D26="","",IF($D26&lt;=$G73,"O.K.","N.G."))</f>
        <v>O.K.</v>
      </c>
      <c r="F26" s="55"/>
      <c r="G26" s="55"/>
      <c r="H26" s="55"/>
      <c r="I26" s="90"/>
      <c r="J26" s="57"/>
      <c r="K26" s="27">
        <v>11</v>
      </c>
      <c r="L26" s="289"/>
      <c r="M26" s="112" t="s">
        <v>159</v>
      </c>
      <c r="N26" s="112"/>
      <c r="O26" s="127"/>
      <c r="T26" s="343" t="s">
        <v>249</v>
      </c>
      <c r="U26" s="323"/>
      <c r="V26" s="323"/>
      <c r="W26" s="323"/>
      <c r="X26" s="323"/>
      <c r="Y26" s="323"/>
      <c r="Z26" s="323"/>
      <c r="AA26" s="323"/>
      <c r="AB26" s="323"/>
      <c r="AC26" s="344"/>
      <c r="AD26" s="323"/>
      <c r="AE26" s="344"/>
      <c r="AF26" s="343"/>
      <c r="AG26" s="323"/>
      <c r="AH26" s="323"/>
      <c r="AI26" s="344"/>
      <c r="AJ26" s="324"/>
      <c r="AK26" s="324"/>
      <c r="AL26" s="324"/>
      <c r="AM26" s="51"/>
      <c r="AN26" s="236"/>
      <c r="AO26" s="236"/>
      <c r="AP26" s="484"/>
      <c r="AQ26" s="484"/>
      <c r="AR26" s="484"/>
      <c r="AS26" s="484"/>
      <c r="AT26" s="51"/>
      <c r="AU26" s="519"/>
      <c r="AV26" s="520"/>
      <c r="AW26" s="520"/>
      <c r="AX26" s="520"/>
      <c r="AY26" s="520"/>
      <c r="AZ26" s="521"/>
      <c r="BA26" s="520"/>
      <c r="BB26" s="521"/>
      <c r="BC26" s="520"/>
      <c r="BD26" s="521"/>
      <c r="BE26" s="520"/>
      <c r="BF26" s="522"/>
      <c r="BG26" s="522"/>
      <c r="BH26" s="523"/>
      <c r="BI26" s="523"/>
      <c r="BJ26" s="523"/>
      <c r="BK26" s="106"/>
      <c r="BL26" s="106"/>
      <c r="BM26" s="106"/>
      <c r="BN26" s="106"/>
      <c r="BO26" s="106"/>
      <c r="BP26" s="106"/>
      <c r="BQ26" s="106"/>
      <c r="BR26" s="106"/>
      <c r="BS26" s="106"/>
      <c r="BT26" s="106"/>
      <c r="BU26" s="106"/>
      <c r="BV26" s="106"/>
      <c r="BW26" s="106"/>
      <c r="BX26" s="106"/>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18"/>
      <c r="EB26" s="20"/>
      <c r="EC26" s="27"/>
      <c r="ED26" s="100"/>
      <c r="EG26" s="44"/>
    </row>
    <row r="27" spans="1:137" ht="12.75" customHeight="1">
      <c r="A27" s="80"/>
      <c r="B27" s="347" t="str">
        <f>IF($C$20-3&lt;=0,"",($C$20-3))</f>
        <v/>
      </c>
      <c r="C27" s="262"/>
      <c r="D27" s="327"/>
      <c r="E27" s="118" t="str">
        <f t="shared" si="0"/>
        <v/>
      </c>
      <c r="F27" s="55"/>
      <c r="G27" s="55"/>
      <c r="H27" s="83"/>
      <c r="I27" s="90"/>
      <c r="K27" s="27">
        <v>12</v>
      </c>
      <c r="L27" s="294" t="s">
        <v>51</v>
      </c>
      <c r="M27" s="482" t="s">
        <v>158</v>
      </c>
      <c r="N27" s="115" t="s">
        <v>27</v>
      </c>
      <c r="O27" s="115" t="s">
        <v>34</v>
      </c>
      <c r="P27" s="303"/>
      <c r="T27" s="385" t="s">
        <v>265</v>
      </c>
      <c r="U27" s="406" t="s">
        <v>320</v>
      </c>
      <c r="V27" s="362">
        <v>8</v>
      </c>
      <c r="W27" s="398">
        <v>2</v>
      </c>
      <c r="X27" s="398">
        <v>4</v>
      </c>
      <c r="Y27" s="363" t="s">
        <v>110</v>
      </c>
      <c r="Z27" s="300" t="s">
        <v>110</v>
      </c>
      <c r="AA27" s="300">
        <v>160</v>
      </c>
      <c r="AB27" s="300">
        <v>160</v>
      </c>
      <c r="AC27" s="300">
        <v>100</v>
      </c>
      <c r="AD27" s="320">
        <v>0.03</v>
      </c>
      <c r="AE27" s="320">
        <v>0.75</v>
      </c>
      <c r="AF27" s="418">
        <v>0.02</v>
      </c>
      <c r="AG27" s="418">
        <v>0.02</v>
      </c>
      <c r="AH27" s="418">
        <v>1.4999999999999999E-2</v>
      </c>
      <c r="AI27" s="418">
        <v>0.01</v>
      </c>
      <c r="AJ27" s="324"/>
      <c r="AK27" s="324"/>
      <c r="AL27" s="324"/>
      <c r="AM27" s="16"/>
      <c r="AN27" s="100"/>
      <c r="AO27" s="20"/>
      <c r="AP27" s="33"/>
      <c r="AQ27" s="20"/>
      <c r="AR27" s="20"/>
      <c r="AS27" s="16"/>
      <c r="AT27" s="16"/>
      <c r="AU27" s="519"/>
      <c r="AV27" s="520"/>
      <c r="AW27" s="520"/>
      <c r="AX27" s="520"/>
      <c r="AY27" s="520"/>
      <c r="AZ27" s="521"/>
      <c r="BA27" s="520"/>
      <c r="BB27" s="521"/>
      <c r="BC27" s="520"/>
      <c r="BD27" s="521"/>
      <c r="BE27" s="520"/>
      <c r="BF27" s="522"/>
      <c r="BG27" s="522"/>
      <c r="BH27" s="523"/>
      <c r="BI27" s="523"/>
      <c r="BJ27" s="524"/>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7"/>
      <c r="DX27" s="18"/>
      <c r="EB27" s="20"/>
      <c r="EC27" s="27"/>
      <c r="ED27" s="100"/>
      <c r="EG27" s="44"/>
    </row>
    <row r="28" spans="1:137" ht="12.75" customHeight="1">
      <c r="A28" s="80"/>
      <c r="B28" s="347" t="str">
        <f>IF($C$20-4&lt;=0,"",($C$20-4))</f>
        <v/>
      </c>
      <c r="C28" s="262"/>
      <c r="D28" s="327"/>
      <c r="E28" s="118" t="str">
        <f t="shared" si="0"/>
        <v/>
      </c>
      <c r="F28" s="55"/>
      <c r="G28" s="20"/>
      <c r="H28" s="20"/>
      <c r="I28" s="102"/>
      <c r="K28" s="27">
        <v>13</v>
      </c>
      <c r="L28" s="483" t="s">
        <v>52</v>
      </c>
      <c r="M28" s="116" t="s">
        <v>29</v>
      </c>
      <c r="N28" s="116" t="s">
        <v>29</v>
      </c>
      <c r="O28" s="116" t="s">
        <v>29</v>
      </c>
      <c r="P28" s="303"/>
      <c r="Q28" s="33"/>
      <c r="T28" s="342" t="s">
        <v>266</v>
      </c>
      <c r="U28" s="405" t="s">
        <v>421</v>
      </c>
      <c r="V28" s="361">
        <v>6</v>
      </c>
      <c r="W28" s="399">
        <v>2</v>
      </c>
      <c r="X28" s="399">
        <v>5</v>
      </c>
      <c r="Y28" s="364" t="s">
        <v>110</v>
      </c>
      <c r="Z28" s="298" t="s">
        <v>110</v>
      </c>
      <c r="AA28" s="298">
        <v>160</v>
      </c>
      <c r="AB28" s="298">
        <v>160</v>
      </c>
      <c r="AC28" s="298">
        <v>100</v>
      </c>
      <c r="AD28" s="298">
        <v>0.03</v>
      </c>
      <c r="AE28" s="298">
        <v>0.75</v>
      </c>
      <c r="AF28" s="416">
        <v>0.02</v>
      </c>
      <c r="AG28" s="416">
        <v>0.02</v>
      </c>
      <c r="AH28" s="416">
        <v>1.4999999999999999E-2</v>
      </c>
      <c r="AI28" s="416">
        <v>0.01</v>
      </c>
      <c r="AJ28" s="324"/>
      <c r="AK28" s="324"/>
      <c r="AL28" s="324"/>
      <c r="AM28" s="16"/>
      <c r="AT28" s="16"/>
      <c r="AU28" s="519"/>
      <c r="AV28" s="520"/>
      <c r="AW28" s="520"/>
      <c r="AX28" s="520"/>
      <c r="AY28" s="520"/>
      <c r="AZ28" s="521"/>
      <c r="BA28" s="520"/>
      <c r="BB28" s="521"/>
      <c r="BC28" s="520"/>
      <c r="BD28" s="521"/>
      <c r="BE28" s="520"/>
      <c r="BF28" s="522"/>
      <c r="BG28" s="522"/>
      <c r="BH28" s="523"/>
      <c r="BI28" s="523"/>
      <c r="BJ28" s="523"/>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7"/>
      <c r="DX28" s="18"/>
      <c r="EB28" s="20"/>
      <c r="EC28" s="27"/>
      <c r="ED28" s="100"/>
      <c r="EG28" s="44"/>
    </row>
    <row r="29" spans="1:137" ht="12.75" customHeight="1">
      <c r="A29" s="80"/>
      <c r="B29" s="347" t="str">
        <f>IF($C$20-5&lt;=0,"",($C$20-5))</f>
        <v/>
      </c>
      <c r="C29" s="262"/>
      <c r="D29" s="327"/>
      <c r="E29" s="118" t="str">
        <f t="shared" si="0"/>
        <v/>
      </c>
      <c r="F29" s="55"/>
      <c r="G29" s="110"/>
      <c r="H29" s="55"/>
      <c r="I29" s="90"/>
      <c r="J29" s="57"/>
      <c r="K29" s="27">
        <v>14</v>
      </c>
      <c r="L29" s="118" t="s">
        <v>368</v>
      </c>
      <c r="M29" s="118" t="s">
        <v>31</v>
      </c>
      <c r="N29" s="118" t="s">
        <v>31</v>
      </c>
      <c r="O29" s="118" t="s">
        <v>33</v>
      </c>
      <c r="P29" s="100"/>
      <c r="Q29" s="33"/>
      <c r="T29" s="325" t="s">
        <v>267</v>
      </c>
      <c r="U29" s="404" t="s">
        <v>422</v>
      </c>
      <c r="V29" s="359">
        <v>3.25</v>
      </c>
      <c r="W29" s="400">
        <v>2</v>
      </c>
      <c r="X29" s="400">
        <v>3.25</v>
      </c>
      <c r="Y29" s="365" t="s">
        <v>110</v>
      </c>
      <c r="Z29" s="297" t="s">
        <v>110</v>
      </c>
      <c r="AA29" s="297">
        <v>35</v>
      </c>
      <c r="AB29" s="297">
        <v>35</v>
      </c>
      <c r="AC29" s="297" t="s">
        <v>112</v>
      </c>
      <c r="AD29" s="297">
        <v>0.02</v>
      </c>
      <c r="AE29" s="297">
        <v>0.75</v>
      </c>
      <c r="AF29" s="415">
        <v>0.02</v>
      </c>
      <c r="AG29" s="415">
        <v>0.02</v>
      </c>
      <c r="AH29" s="415">
        <v>1.4999999999999999E-2</v>
      </c>
      <c r="AI29" s="415">
        <v>0.01</v>
      </c>
      <c r="AJ29" s="324"/>
      <c r="AK29" s="324"/>
      <c r="AL29" s="324"/>
      <c r="AM29" s="16"/>
      <c r="AT29" s="16"/>
      <c r="AU29" s="519"/>
      <c r="AV29" s="520"/>
      <c r="AW29" s="520"/>
      <c r="AX29" s="520"/>
      <c r="AY29" s="520"/>
      <c r="AZ29" s="521"/>
      <c r="BA29" s="520"/>
      <c r="BB29" s="521"/>
      <c r="BC29" s="520"/>
      <c r="BD29" s="521"/>
      <c r="BE29" s="520"/>
      <c r="BF29" s="522"/>
      <c r="BG29" s="522"/>
      <c r="BH29" s="524"/>
      <c r="BI29" s="524"/>
      <c r="BJ29" s="524"/>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7"/>
      <c r="DX29" s="18"/>
      <c r="EB29" s="20"/>
      <c r="EC29" s="27"/>
      <c r="ED29" s="33"/>
      <c r="EG29" s="44"/>
    </row>
    <row r="30" spans="1:137" ht="12.75" customHeight="1">
      <c r="A30" s="80"/>
      <c r="B30" s="347" t="str">
        <f>IF($C$20-6&lt;=0,"",($C$20-6))</f>
        <v/>
      </c>
      <c r="C30" s="262"/>
      <c r="D30" s="327"/>
      <c r="E30" s="118" t="str">
        <f t="shared" si="0"/>
        <v/>
      </c>
      <c r="F30" s="55"/>
      <c r="G30" s="110"/>
      <c r="H30" s="83"/>
      <c r="I30" s="99"/>
      <c r="K30" s="27">
        <v>15</v>
      </c>
      <c r="L30" s="118" t="s">
        <v>370</v>
      </c>
      <c r="M30" s="118" t="s">
        <v>33</v>
      </c>
      <c r="N30" s="118" t="s">
        <v>33</v>
      </c>
      <c r="O30" s="118" t="s">
        <v>32</v>
      </c>
      <c r="P30" s="100"/>
      <c r="Q30" s="33"/>
      <c r="T30" s="325" t="s">
        <v>268</v>
      </c>
      <c r="U30" s="404" t="s">
        <v>125</v>
      </c>
      <c r="V30" s="359">
        <v>6</v>
      </c>
      <c r="W30" s="400">
        <v>2.5</v>
      </c>
      <c r="X30" s="400">
        <v>5</v>
      </c>
      <c r="Y30" s="365" t="s">
        <v>110</v>
      </c>
      <c r="Z30" s="297" t="s">
        <v>110</v>
      </c>
      <c r="AA30" s="297">
        <v>160</v>
      </c>
      <c r="AB30" s="297">
        <v>160</v>
      </c>
      <c r="AC30" s="297">
        <v>100</v>
      </c>
      <c r="AD30" s="297">
        <v>0.02</v>
      </c>
      <c r="AE30" s="297">
        <v>0.75</v>
      </c>
      <c r="AF30" s="415">
        <v>0.02</v>
      </c>
      <c r="AG30" s="415">
        <v>0.02</v>
      </c>
      <c r="AH30" s="415">
        <v>1.4999999999999999E-2</v>
      </c>
      <c r="AI30" s="415">
        <v>0.01</v>
      </c>
      <c r="AJ30" s="324"/>
      <c r="AK30" s="324"/>
      <c r="AL30" s="324"/>
      <c r="AT30" s="16"/>
      <c r="AU30" s="519"/>
      <c r="AV30" s="520"/>
      <c r="AW30" s="520"/>
      <c r="AX30" s="520"/>
      <c r="AY30" s="520"/>
      <c r="AZ30" s="521"/>
      <c r="BA30" s="520"/>
      <c r="BB30" s="521"/>
      <c r="BC30" s="520"/>
      <c r="BD30" s="521"/>
      <c r="BE30" s="520"/>
      <c r="BF30" s="522"/>
      <c r="BG30" s="524"/>
      <c r="BH30" s="524"/>
      <c r="BI30" s="524"/>
      <c r="BJ30" s="524"/>
      <c r="BK30" s="16"/>
      <c r="BL30" s="16"/>
      <c r="BM30" s="16"/>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8"/>
      <c r="DX30" s="18"/>
      <c r="EB30" s="20"/>
      <c r="EC30" s="27"/>
      <c r="ED30" s="33"/>
      <c r="EG30" s="44"/>
    </row>
    <row r="31" spans="1:137" ht="12.75" customHeight="1">
      <c r="A31" s="80"/>
      <c r="B31" s="347" t="str">
        <f>IF($C$20-7&lt;=0,"",($C$20-7))</f>
        <v/>
      </c>
      <c r="C31" s="262"/>
      <c r="D31" s="327"/>
      <c r="E31" s="118" t="str">
        <f t="shared" si="0"/>
        <v/>
      </c>
      <c r="F31" s="55"/>
      <c r="G31" s="110"/>
      <c r="H31" s="105"/>
      <c r="I31" s="90"/>
      <c r="J31" s="57"/>
      <c r="K31" s="279" t="s">
        <v>236</v>
      </c>
      <c r="L31" s="124" t="s">
        <v>371</v>
      </c>
      <c r="M31" s="124" t="s">
        <v>32</v>
      </c>
      <c r="N31" s="124" t="s">
        <v>32</v>
      </c>
      <c r="O31" s="124" t="s">
        <v>32</v>
      </c>
      <c r="P31" s="25" t="s">
        <v>147</v>
      </c>
      <c r="Q31" s="33"/>
      <c r="T31" s="325" t="s">
        <v>269</v>
      </c>
      <c r="U31" s="404" t="s">
        <v>126</v>
      </c>
      <c r="V31" s="359">
        <v>5</v>
      </c>
      <c r="W31" s="400">
        <v>2.5</v>
      </c>
      <c r="X31" s="400">
        <v>2</v>
      </c>
      <c r="Y31" s="365" t="s">
        <v>110</v>
      </c>
      <c r="Z31" s="297" t="s">
        <v>110</v>
      </c>
      <c r="AA31" s="297" t="s">
        <v>112</v>
      </c>
      <c r="AB31" s="297" t="s">
        <v>112</v>
      </c>
      <c r="AC31" s="297" t="s">
        <v>112</v>
      </c>
      <c r="AD31" s="297">
        <v>0.02</v>
      </c>
      <c r="AE31" s="297">
        <v>0.75</v>
      </c>
      <c r="AF31" s="415">
        <v>0.02</v>
      </c>
      <c r="AG31" s="415">
        <v>0.02</v>
      </c>
      <c r="AH31" s="415">
        <v>1.4999999999999999E-2</v>
      </c>
      <c r="AI31" s="415">
        <v>0.01</v>
      </c>
      <c r="AJ31" s="324"/>
      <c r="AK31" s="324"/>
      <c r="AL31" s="324"/>
      <c r="AM31" s="20"/>
      <c r="AT31" s="16"/>
      <c r="AU31" s="519"/>
      <c r="AV31" s="520"/>
      <c r="AW31" s="520"/>
      <c r="AX31" s="520"/>
      <c r="AY31" s="520"/>
      <c r="AZ31" s="521"/>
      <c r="BA31" s="520"/>
      <c r="BB31" s="521"/>
      <c r="BC31" s="520"/>
      <c r="BD31" s="521"/>
      <c r="BE31" s="520"/>
      <c r="BF31" s="522"/>
      <c r="BG31" s="524"/>
      <c r="BH31" s="524"/>
      <c r="BI31" s="524"/>
      <c r="BJ31" s="524"/>
      <c r="BK31" s="16"/>
      <c r="BL31" s="16"/>
      <c r="BM31" s="16"/>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8"/>
      <c r="DX31" s="18"/>
      <c r="EB31" s="20"/>
      <c r="EC31" s="27"/>
      <c r="ED31" s="33"/>
      <c r="EG31" s="44"/>
    </row>
    <row r="32" spans="1:137" ht="12.75" customHeight="1">
      <c r="A32" s="80"/>
      <c r="B32" s="347" t="str">
        <f>IF($C$20-8&lt;=0,"",($C$20-8))</f>
        <v/>
      </c>
      <c r="C32" s="262"/>
      <c r="D32" s="327"/>
      <c r="E32" s="118" t="str">
        <f t="shared" si="0"/>
        <v/>
      </c>
      <c r="F32" s="55"/>
      <c r="G32" s="117"/>
      <c r="H32" s="83"/>
      <c r="I32" s="99"/>
      <c r="J32" s="57"/>
      <c r="K32" s="279" t="s">
        <v>237</v>
      </c>
      <c r="L32" s="27" t="s">
        <v>56</v>
      </c>
      <c r="M32" s="25" t="str">
        <f>IF(OR($M$23="III",$M$23="IV"),"",IF($C$51&lt;0.167,"A",IF(AND($C$51&gt;=0.167,$C$51&lt;0.33),"B",IF(AND($C$51&gt;=0.33,$C$51&lt;0.5),"C",IF(AND($C$51&gt;=0.5,$C$13&lt;0.75),"D",IF((AND($C$51&gt;=0.5,$C$13&gt;=0.75)),"E"))))))</f>
        <v>C</v>
      </c>
      <c r="N32" s="27" t="str">
        <f>IF(OR($M$23="I",$M$23="II",$M$23="IV"),"",IF($C$51&lt;0.167,"A",IF(AND($C$51&gt;=0.167,$C$51&lt;0.33),"B",IF(AND($C$51&gt;=0.33,$C$51&lt;0.5),"C",IF(AND($C$51&gt;=0.5,$C$13&lt;0.75),"D",IF((AND($C$51&gt;=0.5,$C$13&gt;=0.75)),"E"))))))</f>
        <v/>
      </c>
      <c r="O32" s="27" t="str">
        <f>IF(OR($M$23="I",$M$23="II",$M$23="III"),"",IF($C$51&lt;0.167,"A",IF(AND($C$51&gt;=0.167,$C$51&lt;0.33),"C",IF(AND($C$51&gt;=0.33,$C$51&lt;0.5),"D",IF(AND($C$51&gt;=0.5,$C$13&lt;0.75),"D",IF((AND($C$51&gt;=0.5,$C$13&gt;=0.75)),"F"))))))</f>
        <v/>
      </c>
      <c r="P32" s="126">
        <f>IF($C$55="A",1,IF($C$55="B",2,IF($C$55="C",3,IF($C$55="D",4,IF($C$55="E",5,IF($C$55="F",6))))))</f>
        <v>3</v>
      </c>
      <c r="Q32" s="33"/>
      <c r="T32" s="325" t="s">
        <v>270</v>
      </c>
      <c r="U32" s="404" t="s">
        <v>127</v>
      </c>
      <c r="V32" s="359">
        <v>2</v>
      </c>
      <c r="W32" s="400">
        <v>2.5</v>
      </c>
      <c r="X32" s="400">
        <v>2</v>
      </c>
      <c r="Y32" s="365" t="s">
        <v>110</v>
      </c>
      <c r="Z32" s="297" t="s">
        <v>112</v>
      </c>
      <c r="AA32" s="297" t="s">
        <v>112</v>
      </c>
      <c r="AB32" s="297" t="s">
        <v>112</v>
      </c>
      <c r="AC32" s="297" t="s">
        <v>112</v>
      </c>
      <c r="AD32" s="297">
        <v>0.02</v>
      </c>
      <c r="AE32" s="297">
        <v>0.75</v>
      </c>
      <c r="AF32" s="415">
        <v>0.02</v>
      </c>
      <c r="AG32" s="415">
        <v>0.02</v>
      </c>
      <c r="AH32" s="415">
        <v>1.4999999999999999E-2</v>
      </c>
      <c r="AI32" s="415">
        <v>0.01</v>
      </c>
      <c r="AJ32" s="324"/>
      <c r="AK32" s="324"/>
      <c r="AL32" s="324"/>
      <c r="AT32" s="16"/>
      <c r="AU32" s="519"/>
      <c r="AV32" s="520"/>
      <c r="AW32" s="520"/>
      <c r="AX32" s="520"/>
      <c r="AY32" s="520"/>
      <c r="AZ32" s="521"/>
      <c r="BA32" s="520"/>
      <c r="BB32" s="521"/>
      <c r="BC32" s="520"/>
      <c r="BD32" s="521"/>
      <c r="BE32" s="520"/>
      <c r="BF32" s="522"/>
      <c r="BG32" s="522"/>
      <c r="BH32" s="523"/>
      <c r="BI32" s="523"/>
      <c r="BJ32" s="523"/>
      <c r="BK32" s="16"/>
      <c r="BL32" s="16"/>
      <c r="BM32" s="16"/>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8"/>
      <c r="DX32" s="18"/>
      <c r="EB32" s="20"/>
      <c r="EC32" s="119"/>
      <c r="ED32" s="70"/>
    </row>
    <row r="33" spans="1:137" ht="12.75" customHeight="1">
      <c r="A33" s="80"/>
      <c r="B33" s="347" t="str">
        <f>IF($C$20-9&lt;=0,"",($C$20-9))</f>
        <v/>
      </c>
      <c r="C33" s="262"/>
      <c r="D33" s="327"/>
      <c r="E33" s="118" t="str">
        <f t="shared" si="0"/>
        <v/>
      </c>
      <c r="F33" s="55"/>
      <c r="G33" s="55"/>
      <c r="H33" s="55"/>
      <c r="I33" s="90"/>
      <c r="J33" s="57"/>
      <c r="K33" s="279" t="s">
        <v>238</v>
      </c>
      <c r="N33" s="27"/>
      <c r="O33" s="19"/>
      <c r="P33" s="100"/>
      <c r="Q33" s="33"/>
      <c r="T33" s="325" t="s">
        <v>271</v>
      </c>
      <c r="U33" s="404" t="s">
        <v>128</v>
      </c>
      <c r="V33" s="359">
        <v>1.5</v>
      </c>
      <c r="W33" s="400">
        <v>2.5</v>
      </c>
      <c r="X33" s="400">
        <v>1.5</v>
      </c>
      <c r="Y33" s="365" t="s">
        <v>110</v>
      </c>
      <c r="Z33" s="297" t="s">
        <v>112</v>
      </c>
      <c r="AA33" s="297" t="s">
        <v>112</v>
      </c>
      <c r="AB33" s="297" t="s">
        <v>112</v>
      </c>
      <c r="AC33" s="297" t="s">
        <v>112</v>
      </c>
      <c r="AD33" s="297">
        <v>0.02</v>
      </c>
      <c r="AE33" s="297">
        <v>0.75</v>
      </c>
      <c r="AF33" s="415">
        <v>0.02</v>
      </c>
      <c r="AG33" s="415">
        <v>0.02</v>
      </c>
      <c r="AH33" s="415">
        <v>1.4999999999999999E-2</v>
      </c>
      <c r="AI33" s="415">
        <v>0.01</v>
      </c>
      <c r="AJ33" s="324"/>
      <c r="AK33" s="324"/>
      <c r="AL33" s="324"/>
      <c r="AT33" s="16"/>
      <c r="AU33" s="519"/>
      <c r="AV33" s="520"/>
      <c r="AW33" s="520"/>
      <c r="AX33" s="520"/>
      <c r="AY33" s="520"/>
      <c r="AZ33" s="521"/>
      <c r="BA33" s="520"/>
      <c r="BB33" s="521"/>
      <c r="BC33" s="520"/>
      <c r="BD33" s="521"/>
      <c r="BE33" s="520"/>
      <c r="BF33" s="522"/>
      <c r="BG33" s="524"/>
      <c r="BH33" s="524"/>
      <c r="BI33" s="524"/>
      <c r="BJ33" s="524"/>
      <c r="BK33" s="16"/>
      <c r="BL33" s="16"/>
      <c r="BM33" s="16"/>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8"/>
      <c r="DX33" s="18"/>
      <c r="EB33" s="20"/>
      <c r="EC33" s="119"/>
      <c r="ED33" s="70"/>
    </row>
    <row r="34" spans="1:137" ht="12.75" customHeight="1">
      <c r="A34" s="80"/>
      <c r="B34" s="347" t="str">
        <f>IF($C$20-10&lt;=0,"",($C$20-10))</f>
        <v/>
      </c>
      <c r="C34" s="262"/>
      <c r="D34" s="327"/>
      <c r="E34" s="118" t="str">
        <f t="shared" si="0"/>
        <v/>
      </c>
      <c r="F34" s="55"/>
      <c r="G34" s="55"/>
      <c r="H34" s="55"/>
      <c r="I34" s="90"/>
      <c r="J34" s="57"/>
      <c r="K34" s="280" t="s">
        <v>239</v>
      </c>
      <c r="L34" s="270" t="s">
        <v>463</v>
      </c>
      <c r="M34" s="112"/>
      <c r="N34" s="113"/>
      <c r="O34" s="114"/>
      <c r="P34" s="128"/>
      <c r="Q34" s="128"/>
      <c r="T34" s="325" t="s">
        <v>272</v>
      </c>
      <c r="U34" s="404" t="s">
        <v>252</v>
      </c>
      <c r="V34" s="359">
        <v>5</v>
      </c>
      <c r="W34" s="400">
        <v>2.5</v>
      </c>
      <c r="X34" s="400">
        <v>4.5</v>
      </c>
      <c r="Y34" s="365" t="s">
        <v>110</v>
      </c>
      <c r="Z34" s="297" t="s">
        <v>110</v>
      </c>
      <c r="AA34" s="297">
        <v>40</v>
      </c>
      <c r="AB34" s="297">
        <v>40</v>
      </c>
      <c r="AC34" s="297">
        <v>40</v>
      </c>
      <c r="AD34" s="297">
        <v>0.02</v>
      </c>
      <c r="AE34" s="297">
        <v>0.75</v>
      </c>
      <c r="AF34" s="415">
        <v>0.02</v>
      </c>
      <c r="AG34" s="415">
        <v>0.02</v>
      </c>
      <c r="AH34" s="415">
        <v>1.4999999999999999E-2</v>
      </c>
      <c r="AI34" s="415">
        <v>0.01</v>
      </c>
      <c r="AJ34" s="324"/>
      <c r="AK34" s="324"/>
      <c r="AL34" s="324"/>
      <c r="AN34" s="477" t="s">
        <v>380</v>
      </c>
      <c r="AO34" s="33"/>
      <c r="AP34" s="33"/>
      <c r="AQ34" s="20"/>
      <c r="AR34" s="20"/>
      <c r="AT34" s="16"/>
      <c r="AU34" s="519"/>
      <c r="AV34" s="520"/>
      <c r="AW34" s="520"/>
      <c r="AX34" s="520"/>
      <c r="AY34" s="520"/>
      <c r="AZ34" s="521"/>
      <c r="BA34" s="520"/>
      <c r="BB34" s="521"/>
      <c r="BC34" s="520"/>
      <c r="BD34" s="521"/>
      <c r="BE34" s="520"/>
      <c r="BF34" s="522"/>
      <c r="BG34" s="522"/>
      <c r="BH34" s="523"/>
      <c r="BI34" s="523"/>
      <c r="BJ34" s="523"/>
      <c r="BK34" s="16"/>
      <c r="BL34" s="16"/>
      <c r="BM34" s="16"/>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8"/>
      <c r="DX34" s="18"/>
    </row>
    <row r="35" spans="1:137" ht="12.75" customHeight="1">
      <c r="A35" s="80"/>
      <c r="B35" s="347" t="str">
        <f>IF($C$20-11&lt;=0,"",($C$20-11))</f>
        <v/>
      </c>
      <c r="C35" s="262"/>
      <c r="D35" s="327"/>
      <c r="E35" s="118" t="str">
        <f t="shared" si="0"/>
        <v/>
      </c>
      <c r="F35" s="55"/>
      <c r="G35" s="110"/>
      <c r="H35" s="83"/>
      <c r="I35" s="121"/>
      <c r="J35" s="33"/>
      <c r="K35" s="280" t="s">
        <v>240</v>
      </c>
      <c r="L35" s="289"/>
      <c r="M35" s="112" t="s">
        <v>159</v>
      </c>
      <c r="N35" s="112"/>
      <c r="O35" s="127"/>
      <c r="T35" s="325" t="s">
        <v>273</v>
      </c>
      <c r="U35" s="404" t="s">
        <v>293</v>
      </c>
      <c r="V35" s="359">
        <v>4</v>
      </c>
      <c r="W35" s="400">
        <v>2.5</v>
      </c>
      <c r="X35" s="400">
        <v>4</v>
      </c>
      <c r="Y35" s="365" t="s">
        <v>110</v>
      </c>
      <c r="Z35" s="297" t="s">
        <v>112</v>
      </c>
      <c r="AA35" s="297" t="s">
        <v>112</v>
      </c>
      <c r="AB35" s="297" t="s">
        <v>112</v>
      </c>
      <c r="AC35" s="297" t="s">
        <v>112</v>
      </c>
      <c r="AD35" s="297">
        <v>0.02</v>
      </c>
      <c r="AE35" s="297">
        <v>0.75</v>
      </c>
      <c r="AF35" s="415">
        <v>0.02</v>
      </c>
      <c r="AG35" s="415">
        <v>0.02</v>
      </c>
      <c r="AH35" s="415">
        <v>1.4999999999999999E-2</v>
      </c>
      <c r="AI35" s="415">
        <v>0.01</v>
      </c>
      <c r="AJ35" s="324"/>
      <c r="AK35" s="324"/>
      <c r="AL35" s="324"/>
      <c r="AN35" s="57"/>
      <c r="AO35" s="240"/>
      <c r="AP35" s="33"/>
      <c r="AQ35" s="20"/>
      <c r="AR35" s="20"/>
      <c r="AT35" s="16"/>
      <c r="AU35" s="519"/>
      <c r="AV35" s="520"/>
      <c r="AW35" s="520"/>
      <c r="AX35" s="520"/>
      <c r="AY35" s="520"/>
      <c r="AZ35" s="521"/>
      <c r="BA35" s="520"/>
      <c r="BB35" s="521"/>
      <c r="BC35" s="520"/>
      <c r="BD35" s="521"/>
      <c r="BE35" s="520"/>
      <c r="BF35" s="522"/>
      <c r="BG35" s="522"/>
      <c r="BH35" s="523"/>
      <c r="BI35" s="523"/>
      <c r="BJ35" s="523"/>
      <c r="BK35" s="16"/>
      <c r="BL35" s="16"/>
      <c r="BM35" s="16"/>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8"/>
      <c r="DX35" s="18"/>
      <c r="EG35" s="44"/>
    </row>
    <row r="36" spans="1:137" ht="12.75" customHeight="1">
      <c r="A36" s="80"/>
      <c r="B36" s="350" t="str">
        <f>IF($C$20-12&lt;=0,"",($C$20-12))</f>
        <v/>
      </c>
      <c r="C36" s="262"/>
      <c r="D36" s="327"/>
      <c r="E36" s="118" t="str">
        <f t="shared" si="0"/>
        <v/>
      </c>
      <c r="F36" s="55"/>
      <c r="G36" s="55"/>
      <c r="H36" s="55"/>
      <c r="I36" s="90"/>
      <c r="K36" s="279" t="s">
        <v>241</v>
      </c>
      <c r="L36" s="294" t="s">
        <v>50</v>
      </c>
      <c r="M36" s="482" t="s">
        <v>158</v>
      </c>
      <c r="N36" s="115" t="s">
        <v>27</v>
      </c>
      <c r="O36" s="115" t="s">
        <v>34</v>
      </c>
      <c r="P36" s="128"/>
      <c r="Q36" s="70"/>
      <c r="T36" s="325" t="s">
        <v>274</v>
      </c>
      <c r="U36" s="504" t="s">
        <v>423</v>
      </c>
      <c r="V36" s="359">
        <v>8</v>
      </c>
      <c r="W36" s="400">
        <v>2.5</v>
      </c>
      <c r="X36" s="400">
        <v>4</v>
      </c>
      <c r="Y36" s="365" t="s">
        <v>110</v>
      </c>
      <c r="Z36" s="297" t="s">
        <v>110</v>
      </c>
      <c r="AA36" s="297">
        <v>160</v>
      </c>
      <c r="AB36" s="297">
        <v>160</v>
      </c>
      <c r="AC36" s="297">
        <v>100</v>
      </c>
      <c r="AD36" s="297">
        <v>0.02</v>
      </c>
      <c r="AE36" s="297">
        <v>0.75</v>
      </c>
      <c r="AF36" s="415">
        <v>0.02</v>
      </c>
      <c r="AG36" s="415">
        <v>0.02</v>
      </c>
      <c r="AH36" s="415">
        <v>1.4999999999999999E-2</v>
      </c>
      <c r="AI36" s="415">
        <v>0.01</v>
      </c>
      <c r="AJ36" s="324"/>
      <c r="AK36" s="324"/>
      <c r="AL36" s="324"/>
      <c r="AN36" s="478"/>
      <c r="AO36" s="240"/>
      <c r="AP36" s="20"/>
      <c r="AQ36" s="20"/>
      <c r="AR36" s="20"/>
      <c r="AT36" s="16"/>
      <c r="AU36" s="519"/>
      <c r="AV36" s="520"/>
      <c r="AW36" s="520"/>
      <c r="AX36" s="520"/>
      <c r="AY36" s="520"/>
      <c r="AZ36" s="521"/>
      <c r="BA36" s="520"/>
      <c r="BB36" s="521"/>
      <c r="BC36" s="520"/>
      <c r="BD36" s="521"/>
      <c r="BE36" s="520"/>
      <c r="BF36" s="522"/>
      <c r="BG36" s="522"/>
      <c r="BH36" s="524"/>
      <c r="BI36" s="524"/>
      <c r="BJ36" s="524"/>
      <c r="BK36" s="16"/>
      <c r="BL36" s="16"/>
      <c r="BM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8"/>
      <c r="DX36" s="18"/>
      <c r="EG36" s="44"/>
    </row>
    <row r="37" spans="1:137" ht="12.75" customHeight="1">
      <c r="A37" s="80"/>
      <c r="B37" s="350" t="str">
        <f>IF($C$20-13&lt;=0,"",($C$20-13))</f>
        <v/>
      </c>
      <c r="C37" s="262"/>
      <c r="D37" s="327"/>
      <c r="E37" s="118" t="str">
        <f t="shared" si="0"/>
        <v/>
      </c>
      <c r="F37" s="55"/>
      <c r="G37" s="55"/>
      <c r="H37" s="55"/>
      <c r="I37" s="90"/>
      <c r="K37" s="279" t="s">
        <v>242</v>
      </c>
      <c r="L37" s="483" t="s">
        <v>53</v>
      </c>
      <c r="M37" s="116" t="s">
        <v>29</v>
      </c>
      <c r="N37" s="116" t="s">
        <v>29</v>
      </c>
      <c r="O37" s="116" t="s">
        <v>29</v>
      </c>
      <c r="P37" s="128"/>
      <c r="Q37" s="129"/>
      <c r="T37" s="325" t="s">
        <v>275</v>
      </c>
      <c r="U37" s="404" t="s">
        <v>425</v>
      </c>
      <c r="V37" s="359">
        <v>5</v>
      </c>
      <c r="W37" s="400">
        <v>2</v>
      </c>
      <c r="X37" s="400">
        <v>4.5</v>
      </c>
      <c r="Y37" s="365" t="s">
        <v>110</v>
      </c>
      <c r="Z37" s="297" t="s">
        <v>110</v>
      </c>
      <c r="AA37" s="297">
        <v>160</v>
      </c>
      <c r="AB37" s="297">
        <v>160</v>
      </c>
      <c r="AC37" s="297">
        <v>100</v>
      </c>
      <c r="AD37" s="297">
        <v>0.02</v>
      </c>
      <c r="AE37" s="297">
        <v>0.75</v>
      </c>
      <c r="AF37" s="415">
        <v>0.02</v>
      </c>
      <c r="AG37" s="415">
        <v>0.02</v>
      </c>
      <c r="AH37" s="415">
        <v>1.4999999999999999E-2</v>
      </c>
      <c r="AI37" s="415">
        <v>0.01</v>
      </c>
      <c r="AJ37" s="324"/>
      <c r="AK37" s="324"/>
      <c r="AL37" s="324"/>
      <c r="AN37" s="20"/>
      <c r="AO37" s="20"/>
      <c r="AP37" s="20"/>
      <c r="AQ37" s="20"/>
      <c r="AR37" s="20"/>
      <c r="AT37" s="16"/>
      <c r="AU37" s="519"/>
      <c r="AV37" s="520"/>
      <c r="AW37" s="520"/>
      <c r="AX37" s="520"/>
      <c r="AY37" s="520"/>
      <c r="AZ37" s="521"/>
      <c r="BA37" s="520"/>
      <c r="BB37" s="521"/>
      <c r="BC37" s="520"/>
      <c r="BD37" s="521"/>
      <c r="BE37" s="520"/>
      <c r="BF37" s="522"/>
      <c r="BG37" s="522"/>
      <c r="BH37" s="523"/>
      <c r="BI37" s="523"/>
      <c r="BJ37" s="523"/>
      <c r="BK37" s="16"/>
      <c r="BL37" s="16"/>
      <c r="BM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8"/>
      <c r="DX37" s="18"/>
      <c r="EG37" s="44"/>
    </row>
    <row r="38" spans="1:137" ht="12.75" customHeight="1">
      <c r="A38" s="80"/>
      <c r="B38" s="351" t="str">
        <f>IF($C$20-14&lt;=0,"",($C$20-14))</f>
        <v/>
      </c>
      <c r="C38" s="353"/>
      <c r="D38" s="448"/>
      <c r="E38" s="124" t="str">
        <f t="shared" si="0"/>
        <v/>
      </c>
      <c r="F38" s="55"/>
      <c r="G38" s="55"/>
      <c r="H38" s="55"/>
      <c r="I38" s="90"/>
      <c r="K38" s="279" t="s">
        <v>243</v>
      </c>
      <c r="L38" s="118" t="s">
        <v>369</v>
      </c>
      <c r="M38" s="118" t="s">
        <v>31</v>
      </c>
      <c r="N38" s="118" t="s">
        <v>31</v>
      </c>
      <c r="O38" s="118" t="s">
        <v>33</v>
      </c>
      <c r="P38" s="128"/>
      <c r="Q38" s="129"/>
      <c r="T38" s="325" t="s">
        <v>276</v>
      </c>
      <c r="U38" s="404" t="s">
        <v>424</v>
      </c>
      <c r="V38" s="359">
        <v>3</v>
      </c>
      <c r="W38" s="400">
        <v>2</v>
      </c>
      <c r="X38" s="400">
        <v>3</v>
      </c>
      <c r="Y38" s="365" t="s">
        <v>110</v>
      </c>
      <c r="Z38" s="297" t="s">
        <v>110</v>
      </c>
      <c r="AA38" s="297" t="s">
        <v>112</v>
      </c>
      <c r="AB38" s="297" t="s">
        <v>112</v>
      </c>
      <c r="AC38" s="297" t="s">
        <v>112</v>
      </c>
      <c r="AD38" s="297">
        <v>0.02</v>
      </c>
      <c r="AE38" s="297">
        <v>0.75</v>
      </c>
      <c r="AF38" s="415">
        <v>0.02</v>
      </c>
      <c r="AG38" s="415">
        <v>0.02</v>
      </c>
      <c r="AH38" s="415">
        <v>1.4999999999999999E-2</v>
      </c>
      <c r="AI38" s="415">
        <v>0.01</v>
      </c>
      <c r="AJ38" s="324"/>
      <c r="AK38" s="324"/>
      <c r="AL38" s="324"/>
      <c r="AN38" s="529"/>
      <c r="AO38" s="530"/>
      <c r="AP38" s="531"/>
      <c r="AQ38" s="33"/>
      <c r="AR38" s="20"/>
      <c r="AT38" s="16"/>
      <c r="AU38" s="519"/>
      <c r="AV38" s="520"/>
      <c r="AW38" s="520"/>
      <c r="AX38" s="520"/>
      <c r="AY38" s="520"/>
      <c r="AZ38" s="521"/>
      <c r="BA38" s="520"/>
      <c r="BB38" s="521"/>
      <c r="BC38" s="520"/>
      <c r="BD38" s="521"/>
      <c r="BE38" s="520"/>
      <c r="BF38" s="522"/>
      <c r="BG38" s="522"/>
      <c r="BH38" s="523"/>
      <c r="BI38" s="523"/>
      <c r="BJ38" s="523"/>
      <c r="BK38" s="16"/>
      <c r="BL38" s="16"/>
      <c r="BM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8"/>
      <c r="DX38" s="18"/>
      <c r="EG38" s="44"/>
    </row>
    <row r="39" spans="1:137" ht="12.75" customHeight="1">
      <c r="A39" s="80"/>
      <c r="B39" s="55"/>
      <c r="C39" s="55"/>
      <c r="D39" s="55"/>
      <c r="E39" s="55"/>
      <c r="F39" s="55"/>
      <c r="G39" s="55"/>
      <c r="H39" s="55"/>
      <c r="I39" s="90"/>
      <c r="J39" s="100" t="s">
        <v>25</v>
      </c>
      <c r="K39" s="280" t="s">
        <v>244</v>
      </c>
      <c r="L39" s="118" t="s">
        <v>372</v>
      </c>
      <c r="M39" s="118" t="s">
        <v>33</v>
      </c>
      <c r="N39" s="118" t="s">
        <v>33</v>
      </c>
      <c r="O39" s="118" t="s">
        <v>32</v>
      </c>
      <c r="P39" s="128"/>
      <c r="Q39" s="129"/>
      <c r="T39" s="342" t="s">
        <v>277</v>
      </c>
      <c r="U39" s="404" t="s">
        <v>426</v>
      </c>
      <c r="V39" s="359">
        <v>6.5</v>
      </c>
      <c r="W39" s="400">
        <v>2.5</v>
      </c>
      <c r="X39" s="400">
        <v>5.5</v>
      </c>
      <c r="Y39" s="365" t="s">
        <v>110</v>
      </c>
      <c r="Z39" s="297" t="s">
        <v>110</v>
      </c>
      <c r="AA39" s="297">
        <v>160</v>
      </c>
      <c r="AB39" s="297">
        <v>160</v>
      </c>
      <c r="AC39" s="297">
        <v>100</v>
      </c>
      <c r="AD39" s="297">
        <v>0.02</v>
      </c>
      <c r="AE39" s="297">
        <v>0.75</v>
      </c>
      <c r="AF39" s="415">
        <v>0.02</v>
      </c>
      <c r="AG39" s="415">
        <v>0.02</v>
      </c>
      <c r="AH39" s="415">
        <v>1.4999999999999999E-2</v>
      </c>
      <c r="AI39" s="415">
        <v>0.01</v>
      </c>
      <c r="AJ39" s="324"/>
      <c r="AK39" s="324"/>
      <c r="AL39" s="324"/>
      <c r="AN39" s="529"/>
      <c r="AO39" s="532"/>
      <c r="AP39" s="533"/>
      <c r="AQ39" s="33"/>
      <c r="AR39" s="20"/>
      <c r="AT39" s="16"/>
      <c r="AU39" s="519"/>
      <c r="AV39" s="520"/>
      <c r="AW39" s="520"/>
      <c r="AX39" s="520"/>
      <c r="AY39" s="520"/>
      <c r="AZ39" s="521"/>
      <c r="BA39" s="520"/>
      <c r="BB39" s="521"/>
      <c r="BC39" s="520"/>
      <c r="BD39" s="521"/>
      <c r="BE39" s="520"/>
      <c r="BF39" s="522"/>
      <c r="BG39" s="522"/>
      <c r="BH39" s="524"/>
      <c r="BI39" s="524"/>
      <c r="BJ39" s="524"/>
      <c r="BK39" s="16"/>
      <c r="BL39" s="16"/>
      <c r="BM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8"/>
      <c r="DX39" s="18"/>
    </row>
    <row r="40" spans="1:137" ht="12.75" customHeight="1">
      <c r="A40" s="54" t="s">
        <v>74</v>
      </c>
      <c r="B40" s="55"/>
      <c r="C40" s="68"/>
      <c r="D40" s="53"/>
      <c r="E40" s="76"/>
      <c r="F40" s="55"/>
      <c r="G40" s="55"/>
      <c r="H40" s="123"/>
      <c r="I40" s="90"/>
      <c r="J40" s="100" t="s">
        <v>25</v>
      </c>
      <c r="K40" s="280" t="s">
        <v>245</v>
      </c>
      <c r="L40" s="124" t="s">
        <v>373</v>
      </c>
      <c r="M40" s="124" t="s">
        <v>32</v>
      </c>
      <c r="N40" s="124" t="s">
        <v>32</v>
      </c>
      <c r="O40" s="124" t="s">
        <v>32</v>
      </c>
      <c r="P40" s="25" t="s">
        <v>147</v>
      </c>
      <c r="T40" s="342" t="s">
        <v>278</v>
      </c>
      <c r="U40" s="404" t="s">
        <v>427</v>
      </c>
      <c r="V40" s="359">
        <v>6</v>
      </c>
      <c r="W40" s="400">
        <v>2.5</v>
      </c>
      <c r="X40" s="400">
        <v>5</v>
      </c>
      <c r="Y40" s="365" t="s">
        <v>110</v>
      </c>
      <c r="Z40" s="297" t="s">
        <v>110</v>
      </c>
      <c r="AA40" s="297">
        <v>160</v>
      </c>
      <c r="AB40" s="297">
        <v>160</v>
      </c>
      <c r="AC40" s="297">
        <v>100</v>
      </c>
      <c r="AD40" s="297">
        <v>0.02</v>
      </c>
      <c r="AE40" s="297">
        <v>0.75</v>
      </c>
      <c r="AF40" s="415">
        <v>0.02</v>
      </c>
      <c r="AG40" s="415">
        <v>0.02</v>
      </c>
      <c r="AH40" s="415">
        <v>1.4999999999999999E-2</v>
      </c>
      <c r="AI40" s="415">
        <v>0.01</v>
      </c>
      <c r="AJ40" s="324"/>
      <c r="AK40" s="324"/>
      <c r="AL40" s="324"/>
      <c r="AN40" s="529"/>
      <c r="AO40" s="532"/>
      <c r="AP40" s="533"/>
      <c r="AQ40" s="20"/>
      <c r="AR40" s="20"/>
      <c r="AT40" s="16"/>
      <c r="AU40" s="519"/>
      <c r="AV40" s="520"/>
      <c r="AW40" s="520"/>
      <c r="AX40" s="520"/>
      <c r="AY40" s="520"/>
      <c r="AZ40" s="521"/>
      <c r="BA40" s="520"/>
      <c r="BB40" s="521"/>
      <c r="BC40" s="520"/>
      <c r="BD40" s="521"/>
      <c r="BE40" s="520"/>
      <c r="BF40" s="522"/>
      <c r="BG40" s="522"/>
      <c r="BH40" s="523"/>
      <c r="BI40" s="523"/>
      <c r="BJ40" s="523"/>
      <c r="BK40" s="16"/>
      <c r="BL40" s="16"/>
      <c r="BM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8"/>
      <c r="DX40" s="18"/>
    </row>
    <row r="41" spans="1:137" ht="12.75" customHeight="1">
      <c r="A41" s="80"/>
      <c r="B41" s="55"/>
      <c r="C41" s="55"/>
      <c r="D41" s="55"/>
      <c r="E41" s="55"/>
      <c r="F41" s="55"/>
      <c r="G41" s="55"/>
      <c r="H41" s="55"/>
      <c r="I41" s="90"/>
      <c r="J41" s="100" t="s">
        <v>25</v>
      </c>
      <c r="K41" s="279" t="s">
        <v>246</v>
      </c>
      <c r="L41" s="27" t="s">
        <v>56</v>
      </c>
      <c r="M41" s="25" t="str">
        <f>IF(OR($M$23="III",$M$23="IV"),"",IF($C$52&lt;0.067,"A",IF(AND($C$52&gt;=0.067,$C$52&lt;0.133),"B",IF(AND($C$52&gt;=0.133,$C$52&lt;0.2),"C",IF(AND($C$52&gt;=0.2,$C$13&lt;0.75),"D",IF((AND($C$52&gt;=0.2,$C$13&gt;=0.75)),"E"))))))</f>
        <v>C</v>
      </c>
      <c r="N41" s="25" t="str">
        <f>IF(OR($M$23="I",$M$23="II",$M$23="IV"),"",IF($C$52&lt;0.067,"A",IF(AND($C$52&gt;=0.067,$C$52&lt;0.133),"B",IF(AND($C$52&gt;=0.133,$C$52&lt;0.2),"C",IF(AND($C$52&gt;=0.2,$C$13&lt;0.75),"D",IF((AND($C$52&gt;=0.2,$C$13&gt;=0.75)),"E"))))))</f>
        <v/>
      </c>
      <c r="O41" s="25" t="str">
        <f>IF(OR($M$23="I",$M$23="II",$M$23="III"),"",IF($C$52&lt;0.067,"A",IF(AND($C$52&gt;=0.067,$C$52&lt;0.133),"C",IF(AND($C$52&gt;=0.133,$C$52&lt;0.2),"D",IF(AND($C$52&gt;=0.2,$C$13&lt;0.75),"D",IF((AND($C$52&gt;=0.2,$C$13&gt;=0.75)),"F"))))))</f>
        <v/>
      </c>
      <c r="P41" s="126">
        <f>IF($C$56="A",1,IF($C$56="B",2,IF($C$56="C",3,IF($C$56="D",4,IF($C$56="E",5,IF($C$56="F",6))))))</f>
        <v>3</v>
      </c>
      <c r="T41" s="325" t="s">
        <v>279</v>
      </c>
      <c r="U41" s="405" t="s">
        <v>428</v>
      </c>
      <c r="V41" s="361">
        <v>5</v>
      </c>
      <c r="W41" s="400">
        <v>2.5</v>
      </c>
      <c r="X41" s="399">
        <v>4.5</v>
      </c>
      <c r="Y41" s="364" t="s">
        <v>110</v>
      </c>
      <c r="Z41" s="298" t="s">
        <v>110</v>
      </c>
      <c r="AA41" s="298" t="s">
        <v>112</v>
      </c>
      <c r="AB41" s="298" t="s">
        <v>112</v>
      </c>
      <c r="AC41" s="298" t="s">
        <v>112</v>
      </c>
      <c r="AD41" s="298">
        <v>0.02</v>
      </c>
      <c r="AE41" s="298">
        <v>0.75</v>
      </c>
      <c r="AF41" s="415">
        <v>0.02</v>
      </c>
      <c r="AG41" s="415">
        <v>0.02</v>
      </c>
      <c r="AH41" s="415">
        <v>1.4999999999999999E-2</v>
      </c>
      <c r="AI41" s="415">
        <v>0.01</v>
      </c>
      <c r="AJ41" s="324"/>
      <c r="AK41" s="324"/>
      <c r="AL41" s="324"/>
      <c r="AN41" s="534"/>
      <c r="AO41" s="535"/>
      <c r="AP41" s="531"/>
      <c r="AQ41" s="20"/>
      <c r="AR41" s="20"/>
      <c r="AT41" s="16"/>
      <c r="AU41" s="519"/>
      <c r="AV41" s="520"/>
      <c r="AW41" s="520"/>
      <c r="AX41" s="520"/>
      <c r="AY41" s="520"/>
      <c r="AZ41" s="521"/>
      <c r="BA41" s="520"/>
      <c r="BB41" s="521"/>
      <c r="BC41" s="520"/>
      <c r="BD41" s="521"/>
      <c r="BE41" s="520"/>
      <c r="BF41" s="522"/>
      <c r="BG41" s="522"/>
      <c r="BH41" s="524"/>
      <c r="BI41" s="524"/>
      <c r="BJ41" s="524"/>
      <c r="BK41" s="16"/>
      <c r="BL41" s="16"/>
      <c r="BM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8"/>
      <c r="DX41" s="18"/>
    </row>
    <row r="42" spans="1:137" ht="12.75" customHeight="1">
      <c r="A42" s="54" t="s">
        <v>81</v>
      </c>
      <c r="B42" s="55"/>
      <c r="C42" s="120"/>
      <c r="D42" s="95"/>
      <c r="E42" s="87"/>
      <c r="F42" s="55"/>
      <c r="G42" s="55"/>
      <c r="H42" s="55"/>
      <c r="I42" s="90"/>
      <c r="J42" s="100" t="s">
        <v>25</v>
      </c>
      <c r="K42" s="279" t="s">
        <v>247</v>
      </c>
      <c r="N42" s="27"/>
      <c r="O42" s="136" t="s">
        <v>161</v>
      </c>
      <c r="P42" s="126">
        <f>MAX($P$32,$P$41)</f>
        <v>3</v>
      </c>
      <c r="T42" s="325" t="s">
        <v>280</v>
      </c>
      <c r="U42" s="404" t="s">
        <v>129</v>
      </c>
      <c r="V42" s="361">
        <v>5.5</v>
      </c>
      <c r="W42" s="400">
        <v>2.5</v>
      </c>
      <c r="X42" s="399">
        <v>4</v>
      </c>
      <c r="Y42" s="364" t="s">
        <v>110</v>
      </c>
      <c r="Z42" s="298" t="s">
        <v>110</v>
      </c>
      <c r="AA42" s="298">
        <v>160</v>
      </c>
      <c r="AB42" s="298">
        <v>160</v>
      </c>
      <c r="AC42" s="298">
        <v>100</v>
      </c>
      <c r="AD42" s="298">
        <v>0.02</v>
      </c>
      <c r="AE42" s="298">
        <v>0.75</v>
      </c>
      <c r="AF42" s="415">
        <v>7.0000000000000001E-3</v>
      </c>
      <c r="AG42" s="415">
        <v>7.0000000000000001E-3</v>
      </c>
      <c r="AH42" s="415">
        <v>7.0000000000000001E-3</v>
      </c>
      <c r="AI42" s="415">
        <v>7.0000000000000001E-3</v>
      </c>
      <c r="AJ42" s="324"/>
      <c r="AK42" s="324"/>
      <c r="AL42" s="324"/>
      <c r="AN42" s="536"/>
      <c r="AO42" s="537"/>
      <c r="AP42" s="535"/>
      <c r="AQ42" s="20"/>
      <c r="AR42" s="20"/>
      <c r="AT42" s="16"/>
      <c r="AU42" s="519"/>
      <c r="AV42" s="520"/>
      <c r="AW42" s="520"/>
      <c r="AX42" s="520"/>
      <c r="AY42" s="520"/>
      <c r="AZ42" s="521"/>
      <c r="BA42" s="520"/>
      <c r="BB42" s="521"/>
      <c r="BC42" s="520"/>
      <c r="BD42" s="521"/>
      <c r="BE42" s="520"/>
      <c r="BF42" s="522"/>
      <c r="BG42" s="523"/>
      <c r="BH42" s="524"/>
      <c r="BI42" s="524"/>
      <c r="BJ42" s="524"/>
      <c r="BK42" s="16"/>
      <c r="BL42" s="16"/>
      <c r="BM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8"/>
      <c r="DX42" s="18"/>
    </row>
    <row r="43" spans="1:137" ht="12.75" customHeight="1">
      <c r="A43" s="85"/>
      <c r="B43" s="64" t="s">
        <v>43</v>
      </c>
      <c r="C43" s="96">
        <f>IF($C$10="A",$R$6,IF($C$10="B",$R$7,IF($C$10="C",$R$8,IF($C$10="D",$R$9,IF($C$10="E",$R$10,IF($C$10="F",$R$11))))))</f>
        <v>1.5180800000000001</v>
      </c>
      <c r="D43" s="55" t="s">
        <v>454</v>
      </c>
      <c r="E43" s="97"/>
      <c r="F43" s="55"/>
      <c r="G43" s="55"/>
      <c r="H43" s="83"/>
      <c r="I43" s="90"/>
      <c r="J43" s="100" t="s">
        <v>25</v>
      </c>
      <c r="K43" s="27" t="s">
        <v>248</v>
      </c>
      <c r="N43" s="27"/>
      <c r="O43" s="136" t="s">
        <v>84</v>
      </c>
      <c r="P43" s="126" t="str">
        <f>IF($P$42=1,"A",IF($P$42=2,"B",IF($P$42=3,"C",IF($P$42=4,"D",IF($P$42=5,"E",IF($P$42=6,"F"))))))</f>
        <v>C</v>
      </c>
      <c r="T43" s="325" t="s">
        <v>281</v>
      </c>
      <c r="U43" s="404" t="s">
        <v>130</v>
      </c>
      <c r="V43" s="359">
        <v>4</v>
      </c>
      <c r="W43" s="400">
        <v>2.5</v>
      </c>
      <c r="X43" s="400">
        <v>4</v>
      </c>
      <c r="Y43" s="365" t="s">
        <v>110</v>
      </c>
      <c r="Z43" s="297" t="s">
        <v>110</v>
      </c>
      <c r="AA43" s="297" t="s">
        <v>112</v>
      </c>
      <c r="AB43" s="297" t="s">
        <v>112</v>
      </c>
      <c r="AC43" s="297" t="s">
        <v>112</v>
      </c>
      <c r="AD43" s="297">
        <v>0.02</v>
      </c>
      <c r="AE43" s="297">
        <v>0.75</v>
      </c>
      <c r="AF43" s="415">
        <v>7.0000000000000001E-3</v>
      </c>
      <c r="AG43" s="415">
        <v>7.0000000000000001E-3</v>
      </c>
      <c r="AH43" s="415">
        <v>7.0000000000000001E-3</v>
      </c>
      <c r="AI43" s="415">
        <v>7.0000000000000001E-3</v>
      </c>
      <c r="AJ43" s="324"/>
      <c r="AK43" s="324"/>
      <c r="AL43" s="324"/>
      <c r="AN43" s="536"/>
      <c r="AO43" s="537"/>
      <c r="AP43" s="535"/>
      <c r="AQ43" s="20"/>
      <c r="AR43" s="20"/>
      <c r="AT43" s="16"/>
      <c r="AU43" s="519"/>
      <c r="AV43" s="520"/>
      <c r="AW43" s="520"/>
      <c r="AX43" s="520"/>
      <c r="AY43" s="520"/>
      <c r="AZ43" s="521"/>
      <c r="BA43" s="520"/>
      <c r="BB43" s="521"/>
      <c r="BC43" s="520"/>
      <c r="BD43" s="521"/>
      <c r="BE43" s="520"/>
      <c r="BF43" s="522"/>
      <c r="BG43" s="524"/>
      <c r="BH43" s="524"/>
      <c r="BI43" s="524"/>
      <c r="BJ43" s="524"/>
      <c r="BK43" s="16"/>
      <c r="BL43" s="16"/>
      <c r="BM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8"/>
      <c r="DX43" s="18"/>
    </row>
    <row r="44" spans="1:137" ht="12.75" customHeight="1">
      <c r="A44" s="86"/>
      <c r="B44" s="64" t="s">
        <v>44</v>
      </c>
      <c r="C44" s="101">
        <f>IF($C$10="A",$R$16,IF($C$10="B",$R$17,IF($C$10="C",$R$18,IF($C$10="D",$R$19,IF($C$10="E",$R$20,IF($C$10="F",$R$21))))))</f>
        <v>2.3747880000000001</v>
      </c>
      <c r="D44" s="55" t="s">
        <v>455</v>
      </c>
      <c r="E44" s="97"/>
      <c r="F44" s="55"/>
      <c r="G44" s="105"/>
      <c r="H44" s="83"/>
      <c r="I44" s="90"/>
      <c r="J44" s="100" t="s">
        <v>25</v>
      </c>
      <c r="K44" s="27" t="s">
        <v>250</v>
      </c>
      <c r="T44" s="325" t="s">
        <v>282</v>
      </c>
      <c r="U44" s="404" t="s">
        <v>131</v>
      </c>
      <c r="V44" s="359">
        <v>2</v>
      </c>
      <c r="W44" s="400">
        <v>2.5</v>
      </c>
      <c r="X44" s="400">
        <v>2</v>
      </c>
      <c r="Y44" s="365" t="s">
        <v>110</v>
      </c>
      <c r="Z44" s="297">
        <v>160</v>
      </c>
      <c r="AA44" s="297" t="s">
        <v>112</v>
      </c>
      <c r="AB44" s="297" t="s">
        <v>112</v>
      </c>
      <c r="AC44" s="297" t="s">
        <v>112</v>
      </c>
      <c r="AD44" s="297">
        <v>0.02</v>
      </c>
      <c r="AE44" s="297">
        <v>0.75</v>
      </c>
      <c r="AF44" s="415">
        <v>7.0000000000000001E-3</v>
      </c>
      <c r="AG44" s="415">
        <v>7.0000000000000001E-3</v>
      </c>
      <c r="AH44" s="415">
        <v>7.0000000000000001E-3</v>
      </c>
      <c r="AI44" s="415">
        <v>7.0000000000000001E-3</v>
      </c>
      <c r="AJ44" s="324"/>
      <c r="AK44" s="324"/>
      <c r="AL44" s="324"/>
      <c r="AN44" s="538"/>
      <c r="AO44" s="538"/>
      <c r="AP44" s="538"/>
      <c r="AT44" s="16"/>
      <c r="AU44" s="519"/>
      <c r="AV44" s="520"/>
      <c r="AW44" s="520"/>
      <c r="AX44" s="520"/>
      <c r="AY44" s="520"/>
      <c r="AZ44" s="521"/>
      <c r="BA44" s="520"/>
      <c r="BB44" s="521"/>
      <c r="BC44" s="520"/>
      <c r="BD44" s="521"/>
      <c r="BE44" s="520"/>
      <c r="BF44" s="522"/>
      <c r="BG44" s="524"/>
      <c r="BH44" s="524"/>
      <c r="BI44" s="524"/>
      <c r="BJ44" s="524"/>
      <c r="BK44" s="16"/>
      <c r="BL44" s="16"/>
      <c r="BM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8"/>
      <c r="DX44" s="19"/>
      <c r="EE44" s="77"/>
      <c r="EF44" s="77"/>
      <c r="EG44" s="44"/>
    </row>
    <row r="45" spans="1:137" ht="12.75" customHeight="1">
      <c r="A45" s="293" t="str">
        <f>IF(OR($C$43="Note b",$C$44="Note b"),"  Site-specific geotechnical investigation and dynamic response analysis must be performed!","")</f>
        <v/>
      </c>
      <c r="B45" s="20"/>
      <c r="C45" s="20"/>
      <c r="D45" s="20"/>
      <c r="E45" s="20"/>
      <c r="F45" s="55"/>
      <c r="G45" s="81"/>
      <c r="H45" s="120"/>
      <c r="I45" s="90"/>
      <c r="J45" s="100" t="s">
        <v>25</v>
      </c>
      <c r="K45" s="27" t="s">
        <v>251</v>
      </c>
      <c r="T45" s="325" t="s">
        <v>283</v>
      </c>
      <c r="U45" s="404" t="s">
        <v>132</v>
      </c>
      <c r="V45" s="359">
        <v>2</v>
      </c>
      <c r="W45" s="400">
        <v>2.5</v>
      </c>
      <c r="X45" s="400">
        <v>2</v>
      </c>
      <c r="Y45" s="365" t="s">
        <v>110</v>
      </c>
      <c r="Z45" s="297" t="s">
        <v>112</v>
      </c>
      <c r="AA45" s="297" t="s">
        <v>112</v>
      </c>
      <c r="AB45" s="297" t="s">
        <v>112</v>
      </c>
      <c r="AC45" s="297" t="s">
        <v>112</v>
      </c>
      <c r="AD45" s="297">
        <v>0.02</v>
      </c>
      <c r="AE45" s="297">
        <v>0.75</v>
      </c>
      <c r="AF45" s="415">
        <v>7.0000000000000001E-3</v>
      </c>
      <c r="AG45" s="415">
        <v>7.0000000000000001E-3</v>
      </c>
      <c r="AH45" s="415">
        <v>7.0000000000000001E-3</v>
      </c>
      <c r="AI45" s="415">
        <v>7.0000000000000001E-3</v>
      </c>
      <c r="AJ45" s="324"/>
      <c r="AK45" s="324"/>
      <c r="AL45" s="324"/>
      <c r="AN45" s="538"/>
      <c r="AO45" s="538"/>
      <c r="AP45" s="538"/>
      <c r="AT45" s="16"/>
      <c r="AU45" s="519"/>
      <c r="AV45" s="520"/>
      <c r="AW45" s="520"/>
      <c r="AX45" s="520"/>
      <c r="AY45" s="520"/>
      <c r="AZ45" s="521"/>
      <c r="BA45" s="520"/>
      <c r="BB45" s="521"/>
      <c r="BC45" s="520"/>
      <c r="BD45" s="521"/>
      <c r="BE45" s="520"/>
      <c r="BF45" s="522"/>
      <c r="BG45" s="524"/>
      <c r="BH45" s="524"/>
      <c r="BI45" s="524"/>
      <c r="BJ45" s="524"/>
      <c r="BK45" s="16"/>
      <c r="BL45" s="16"/>
      <c r="BM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8"/>
      <c r="DX45" s="19"/>
      <c r="EE45" s="77"/>
      <c r="EF45" s="77"/>
      <c r="EG45" s="44"/>
    </row>
    <row r="46" spans="1:137" ht="12.75" customHeight="1">
      <c r="A46" s="54" t="s">
        <v>255</v>
      </c>
      <c r="B46" s="55"/>
      <c r="C46" s="94"/>
      <c r="D46" s="81"/>
      <c r="E46" s="105"/>
      <c r="F46" s="55"/>
      <c r="G46" s="20"/>
      <c r="H46" s="20"/>
      <c r="I46" s="102"/>
      <c r="J46" s="100" t="s">
        <v>25</v>
      </c>
      <c r="K46" s="279" t="s">
        <v>265</v>
      </c>
      <c r="L46" s="111" t="s">
        <v>466</v>
      </c>
      <c r="M46" s="112"/>
      <c r="N46" s="112"/>
      <c r="O46" s="127"/>
      <c r="T46" s="342" t="s">
        <v>284</v>
      </c>
      <c r="U46" s="404" t="s">
        <v>133</v>
      </c>
      <c r="V46" s="359">
        <v>1.5</v>
      </c>
      <c r="W46" s="400">
        <v>2.5</v>
      </c>
      <c r="X46" s="400">
        <v>1.25</v>
      </c>
      <c r="Y46" s="365" t="s">
        <v>110</v>
      </c>
      <c r="Z46" s="297" t="s">
        <v>112</v>
      </c>
      <c r="AA46" s="297" t="s">
        <v>112</v>
      </c>
      <c r="AB46" s="297" t="s">
        <v>112</v>
      </c>
      <c r="AC46" s="297" t="s">
        <v>112</v>
      </c>
      <c r="AD46" s="297">
        <v>0.02</v>
      </c>
      <c r="AE46" s="297">
        <v>0.75</v>
      </c>
      <c r="AF46" s="415">
        <v>7.0000000000000001E-3</v>
      </c>
      <c r="AG46" s="415">
        <v>7.0000000000000001E-3</v>
      </c>
      <c r="AH46" s="415">
        <v>7.0000000000000001E-3</v>
      </c>
      <c r="AI46" s="415">
        <v>7.0000000000000001E-3</v>
      </c>
      <c r="AL46" s="324"/>
      <c r="AN46" s="538"/>
      <c r="AO46" s="538"/>
      <c r="AP46" s="538"/>
      <c r="AT46" s="16"/>
      <c r="AU46" s="519"/>
      <c r="AV46" s="520"/>
      <c r="AW46" s="520"/>
      <c r="AX46" s="520"/>
      <c r="AY46" s="520"/>
      <c r="AZ46" s="521"/>
      <c r="BA46" s="520"/>
      <c r="BB46" s="521"/>
      <c r="BC46" s="520"/>
      <c r="BD46" s="521"/>
      <c r="BE46" s="520"/>
      <c r="BF46" s="522"/>
      <c r="BG46" s="522"/>
      <c r="BH46" s="523"/>
      <c r="BI46" s="523"/>
      <c r="BJ46" s="523"/>
      <c r="BK46" s="16"/>
      <c r="BL46" s="16"/>
      <c r="BM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8"/>
      <c r="DX46" s="19"/>
      <c r="EE46" s="77"/>
      <c r="EF46" s="77"/>
      <c r="EG46" s="44"/>
    </row>
    <row r="47" spans="1:137" ht="12.75" customHeight="1">
      <c r="A47" s="85"/>
      <c r="B47" s="64" t="s">
        <v>45</v>
      </c>
      <c r="C47" s="107">
        <f>IF($C$43="Note b","N.A.",$C$43*$C$12)</f>
        <v>0.53497139199999999</v>
      </c>
      <c r="D47" s="55" t="s">
        <v>458</v>
      </c>
      <c r="E47" s="105"/>
      <c r="F47" s="55"/>
      <c r="G47" s="81"/>
      <c r="H47" s="55"/>
      <c r="I47" s="130"/>
      <c r="J47" s="100" t="s">
        <v>25</v>
      </c>
      <c r="K47" s="280" t="s">
        <v>266</v>
      </c>
      <c r="L47" s="111" t="s">
        <v>160</v>
      </c>
      <c r="M47" s="112"/>
      <c r="N47" s="112"/>
      <c r="O47" s="127"/>
      <c r="T47" s="342" t="s">
        <v>285</v>
      </c>
      <c r="U47" s="405" t="s">
        <v>254</v>
      </c>
      <c r="V47" s="540">
        <v>1.5</v>
      </c>
      <c r="W47" s="400">
        <v>2.5</v>
      </c>
      <c r="X47" s="400">
        <v>1.75</v>
      </c>
      <c r="Y47" s="365" t="s">
        <v>110</v>
      </c>
      <c r="Z47" s="297" t="s">
        <v>112</v>
      </c>
      <c r="AA47" s="297" t="s">
        <v>112</v>
      </c>
      <c r="AB47" s="297" t="s">
        <v>112</v>
      </c>
      <c r="AC47" s="297" t="s">
        <v>112</v>
      </c>
      <c r="AD47" s="297">
        <v>0.02</v>
      </c>
      <c r="AE47" s="297">
        <v>0.75</v>
      </c>
      <c r="AF47" s="415">
        <v>7.0000000000000001E-3</v>
      </c>
      <c r="AG47" s="415">
        <v>7.0000000000000001E-3</v>
      </c>
      <c r="AH47" s="415">
        <v>7.0000000000000001E-3</v>
      </c>
      <c r="AI47" s="415">
        <v>7.0000000000000001E-3</v>
      </c>
      <c r="AL47" s="324"/>
      <c r="AN47" s="538"/>
      <c r="AO47" s="538"/>
      <c r="AP47" s="538"/>
      <c r="AT47" s="16"/>
      <c r="AU47" s="519"/>
      <c r="AV47" s="520"/>
      <c r="AW47" s="520"/>
      <c r="AX47" s="520"/>
      <c r="AY47" s="520"/>
      <c r="AZ47" s="521"/>
      <c r="BA47" s="520"/>
      <c r="BB47" s="521"/>
      <c r="BC47" s="520"/>
      <c r="BD47" s="521"/>
      <c r="BE47" s="520"/>
      <c r="BF47" s="522"/>
      <c r="BG47" s="522"/>
      <c r="BH47" s="523"/>
      <c r="BI47" s="524"/>
      <c r="BJ47" s="524"/>
      <c r="BK47" s="16"/>
      <c r="BL47" s="16"/>
      <c r="BM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8"/>
      <c r="DX47" s="19"/>
      <c r="EB47" s="20"/>
      <c r="EC47" s="27"/>
      <c r="ED47" s="100"/>
      <c r="EE47" s="77"/>
      <c r="EF47" s="77"/>
      <c r="EG47" s="44"/>
    </row>
    <row r="48" spans="1:137" ht="12.75" customHeight="1">
      <c r="A48" s="86"/>
      <c r="B48" s="64" t="s">
        <v>46</v>
      </c>
      <c r="C48" s="109">
        <f>IF($C$44="Note b","N.A.",$C$44*$C$13)</f>
        <v>0.25244708876400002</v>
      </c>
      <c r="D48" s="55" t="s">
        <v>459</v>
      </c>
      <c r="E48" s="55"/>
      <c r="F48" s="55"/>
      <c r="G48" s="55"/>
      <c r="H48" s="55"/>
      <c r="I48" s="130"/>
      <c r="J48" s="25"/>
      <c r="K48" s="281" t="s">
        <v>267</v>
      </c>
      <c r="L48" s="270" t="s">
        <v>217</v>
      </c>
      <c r="M48" s="328"/>
      <c r="N48" s="278"/>
      <c r="O48" s="46" t="s">
        <v>218</v>
      </c>
      <c r="T48" s="342" t="s">
        <v>286</v>
      </c>
      <c r="U48" s="504" t="s">
        <v>429</v>
      </c>
      <c r="V48" s="361">
        <v>7</v>
      </c>
      <c r="W48" s="400">
        <v>2.5</v>
      </c>
      <c r="X48" s="399">
        <v>4.5</v>
      </c>
      <c r="Y48" s="364" t="s">
        <v>110</v>
      </c>
      <c r="Z48" s="298" t="s">
        <v>110</v>
      </c>
      <c r="AA48" s="297">
        <v>65</v>
      </c>
      <c r="AB48" s="297">
        <v>65</v>
      </c>
      <c r="AC48" s="297">
        <v>65</v>
      </c>
      <c r="AD48" s="298">
        <v>0.02</v>
      </c>
      <c r="AE48" s="298">
        <v>0.75</v>
      </c>
      <c r="AF48" s="415">
        <v>0.02</v>
      </c>
      <c r="AG48" s="415">
        <v>0.02</v>
      </c>
      <c r="AH48" s="415">
        <v>1.4999999999999999E-2</v>
      </c>
      <c r="AI48" s="415">
        <v>0.01</v>
      </c>
      <c r="AJ48" s="303"/>
      <c r="AK48" s="303"/>
      <c r="AL48" s="324"/>
      <c r="AN48" s="538"/>
      <c r="AO48" s="538"/>
      <c r="AP48" s="538"/>
      <c r="AT48" s="16"/>
      <c r="AU48" s="519"/>
      <c r="AV48" s="520"/>
      <c r="AW48" s="520"/>
      <c r="AX48" s="520"/>
      <c r="AY48" s="520"/>
      <c r="AZ48" s="521"/>
      <c r="BA48" s="520"/>
      <c r="BB48" s="521"/>
      <c r="BC48" s="520"/>
      <c r="BD48" s="521"/>
      <c r="BE48" s="520"/>
      <c r="BF48" s="522"/>
      <c r="BG48" s="522"/>
      <c r="BH48" s="523"/>
      <c r="BI48" s="523"/>
      <c r="BJ48" s="523"/>
      <c r="BK48" s="16"/>
      <c r="BL48" s="16"/>
      <c r="BM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8"/>
      <c r="DX48" s="19"/>
      <c r="EB48" s="20"/>
      <c r="EC48" s="27"/>
      <c r="ED48" s="100"/>
      <c r="EE48" s="77"/>
      <c r="EF48" s="77"/>
      <c r="EG48" s="44"/>
    </row>
    <row r="49" spans="1:137" ht="12.75" customHeight="1">
      <c r="A49" s="80"/>
      <c r="B49" s="55"/>
      <c r="C49" s="55"/>
      <c r="D49" s="55"/>
      <c r="E49" s="55"/>
      <c r="F49" s="55"/>
      <c r="G49" s="55"/>
      <c r="H49" s="55"/>
      <c r="I49" s="130"/>
      <c r="J49" s="25"/>
      <c r="K49" s="281" t="s">
        <v>268</v>
      </c>
      <c r="L49" s="274" t="s">
        <v>2</v>
      </c>
      <c r="M49" s="329"/>
      <c r="N49" s="330"/>
      <c r="O49" s="294" t="s">
        <v>219</v>
      </c>
      <c r="T49" s="342" t="s">
        <v>287</v>
      </c>
      <c r="U49" s="504" t="s">
        <v>430</v>
      </c>
      <c r="V49" s="361">
        <v>7</v>
      </c>
      <c r="W49" s="400">
        <v>2.5</v>
      </c>
      <c r="X49" s="399">
        <v>4.5</v>
      </c>
      <c r="Y49" s="364" t="s">
        <v>110</v>
      </c>
      <c r="Z49" s="298" t="s">
        <v>110</v>
      </c>
      <c r="AA49" s="298">
        <v>65</v>
      </c>
      <c r="AB49" s="298">
        <v>65</v>
      </c>
      <c r="AC49" s="298">
        <v>65</v>
      </c>
      <c r="AD49" s="298">
        <v>0.02</v>
      </c>
      <c r="AE49" s="298">
        <v>0.75</v>
      </c>
      <c r="AF49" s="415">
        <v>0.02</v>
      </c>
      <c r="AG49" s="415">
        <v>0.02</v>
      </c>
      <c r="AH49" s="415">
        <v>1.4999999999999999E-2</v>
      </c>
      <c r="AI49" s="415">
        <v>0.01</v>
      </c>
      <c r="AJ49" s="324"/>
      <c r="AK49" s="324"/>
      <c r="AL49" s="324"/>
      <c r="AN49" s="538"/>
      <c r="AO49" s="538"/>
      <c r="AP49" s="538"/>
      <c r="AT49" s="16"/>
      <c r="AU49" s="519"/>
      <c r="AV49" s="520"/>
      <c r="AW49" s="520"/>
      <c r="AX49" s="520"/>
      <c r="AY49" s="520"/>
      <c r="AZ49" s="521"/>
      <c r="BA49" s="520"/>
      <c r="BB49" s="521"/>
      <c r="BC49" s="520"/>
      <c r="BD49" s="521"/>
      <c r="BE49" s="520"/>
      <c r="BF49" s="522"/>
      <c r="BG49" s="522"/>
      <c r="BH49" s="523"/>
      <c r="BI49" s="523"/>
      <c r="BJ49" s="523"/>
      <c r="BK49" s="16"/>
      <c r="BL49" s="16"/>
      <c r="BM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8"/>
      <c r="DX49" s="19"/>
      <c r="EB49" s="20"/>
      <c r="EC49" s="27"/>
      <c r="ED49" s="100"/>
      <c r="EE49" s="77"/>
      <c r="EF49" s="77"/>
      <c r="EG49" s="44"/>
    </row>
    <row r="50" spans="1:137" ht="12.75" customHeight="1">
      <c r="A50" s="54" t="s">
        <v>80</v>
      </c>
      <c r="B50" s="55"/>
      <c r="C50" s="94"/>
      <c r="D50" s="81"/>
      <c r="E50" s="55"/>
      <c r="F50" s="20"/>
      <c r="G50" s="105"/>
      <c r="H50" s="185"/>
      <c r="I50" s="308"/>
      <c r="J50" s="25"/>
      <c r="K50" s="281" t="s">
        <v>269</v>
      </c>
      <c r="L50" s="331" t="s">
        <v>1</v>
      </c>
      <c r="M50" s="332"/>
      <c r="N50" s="333"/>
      <c r="O50" s="116">
        <v>1.4</v>
      </c>
      <c r="T50" s="342" t="s">
        <v>288</v>
      </c>
      <c r="U50" s="404" t="s">
        <v>264</v>
      </c>
      <c r="V50" s="361">
        <v>2.5</v>
      </c>
      <c r="W50" s="400">
        <v>2.5</v>
      </c>
      <c r="X50" s="399">
        <v>2.5</v>
      </c>
      <c r="Y50" s="364" t="s">
        <v>110</v>
      </c>
      <c r="Z50" s="298" t="s">
        <v>110</v>
      </c>
      <c r="AA50" s="298">
        <v>35</v>
      </c>
      <c r="AB50" s="298" t="s">
        <v>112</v>
      </c>
      <c r="AC50" s="298" t="s">
        <v>112</v>
      </c>
      <c r="AD50" s="298">
        <v>0.02</v>
      </c>
      <c r="AE50" s="298">
        <v>0.75</v>
      </c>
      <c r="AF50" s="415">
        <v>0.02</v>
      </c>
      <c r="AG50" s="415">
        <v>0.02</v>
      </c>
      <c r="AH50" s="415">
        <v>1.4999999999999999E-2</v>
      </c>
      <c r="AI50" s="415">
        <v>0.01</v>
      </c>
      <c r="AJ50" s="324"/>
      <c r="AK50" s="324"/>
      <c r="AL50" s="303"/>
      <c r="AN50" s="538"/>
      <c r="AO50" s="538"/>
      <c r="AP50" s="538"/>
      <c r="AT50" s="16"/>
      <c r="AU50" s="519"/>
      <c r="AV50" s="520"/>
      <c r="AW50" s="520"/>
      <c r="AX50" s="520"/>
      <c r="AY50" s="520"/>
      <c r="AZ50" s="521"/>
      <c r="BA50" s="520"/>
      <c r="BB50" s="521"/>
      <c r="BC50" s="520"/>
      <c r="BD50" s="521"/>
      <c r="BE50" s="520"/>
      <c r="BF50" s="522"/>
      <c r="BG50" s="522"/>
      <c r="BH50" s="523"/>
      <c r="BI50" s="523"/>
      <c r="BJ50" s="523"/>
      <c r="BK50" s="16"/>
      <c r="BL50" s="16"/>
      <c r="BM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8"/>
      <c r="DX50" s="19"/>
      <c r="EB50" s="20"/>
      <c r="EC50" s="27"/>
      <c r="ED50" s="100"/>
      <c r="EE50" s="77"/>
      <c r="EF50" s="77"/>
      <c r="EG50" s="44"/>
    </row>
    <row r="51" spans="1:137" ht="12.75" customHeight="1">
      <c r="A51" s="85"/>
      <c r="B51" s="64" t="s">
        <v>47</v>
      </c>
      <c r="C51" s="107">
        <f>IF($C$47="N.A.","N.A.",2*$C$47/3)</f>
        <v>0.35664759466666668</v>
      </c>
      <c r="D51" s="55" t="s">
        <v>460</v>
      </c>
      <c r="E51" s="55"/>
      <c r="F51" s="55"/>
      <c r="G51" s="105"/>
      <c r="H51" s="194"/>
      <c r="I51" s="309"/>
      <c r="K51" s="281" t="s">
        <v>270</v>
      </c>
      <c r="L51" s="334">
        <v>0.3</v>
      </c>
      <c r="M51" s="335"/>
      <c r="N51" s="336"/>
      <c r="O51" s="118">
        <v>1.4</v>
      </c>
      <c r="T51" s="342" t="s">
        <v>289</v>
      </c>
      <c r="U51" s="405" t="s">
        <v>431</v>
      </c>
      <c r="V51" s="361">
        <v>8</v>
      </c>
      <c r="W51" s="400">
        <v>2.5</v>
      </c>
      <c r="X51" s="399">
        <v>5</v>
      </c>
      <c r="Y51" s="364" t="s">
        <v>110</v>
      </c>
      <c r="Z51" s="298" t="s">
        <v>110</v>
      </c>
      <c r="AA51" s="298">
        <v>160</v>
      </c>
      <c r="AB51" s="298">
        <v>160</v>
      </c>
      <c r="AC51" s="298">
        <v>100</v>
      </c>
      <c r="AD51" s="298">
        <v>0.02</v>
      </c>
      <c r="AE51" s="298">
        <v>0.75</v>
      </c>
      <c r="AF51" s="415">
        <v>0.02</v>
      </c>
      <c r="AG51" s="415">
        <v>0.02</v>
      </c>
      <c r="AH51" s="415">
        <v>1.4999999999999999E-2</v>
      </c>
      <c r="AI51" s="415">
        <v>0.01</v>
      </c>
      <c r="AJ51" s="324"/>
      <c r="AK51" s="324"/>
      <c r="AL51" s="324"/>
      <c r="AN51" s="538"/>
      <c r="AO51" s="538"/>
      <c r="AP51" s="538"/>
      <c r="AT51" s="16"/>
      <c r="AU51" s="517"/>
      <c r="AV51" s="518"/>
      <c r="AW51" s="518"/>
      <c r="AX51" s="518"/>
      <c r="AY51" s="518"/>
      <c r="AZ51" s="509"/>
      <c r="BA51" s="509"/>
      <c r="BB51" s="509"/>
      <c r="BC51" s="509"/>
      <c r="BD51" s="509"/>
      <c r="BE51" s="509"/>
      <c r="BF51" s="509"/>
      <c r="BG51" s="509"/>
      <c r="BH51" s="509"/>
      <c r="BI51" s="509"/>
      <c r="BJ51" s="509"/>
      <c r="BK51" s="16"/>
      <c r="BL51" s="16"/>
      <c r="BM51" s="16"/>
      <c r="EB51" s="20"/>
      <c r="EC51" s="27"/>
      <c r="ED51" s="100"/>
      <c r="EE51" s="77"/>
      <c r="EF51" s="77"/>
      <c r="EG51" s="44"/>
    </row>
    <row r="52" spans="1:137" ht="12.75" customHeight="1">
      <c r="A52" s="86"/>
      <c r="B52" s="64" t="s">
        <v>48</v>
      </c>
      <c r="C52" s="109">
        <f>IF($C$48="N.A.","N.A.",2*$C$48/3)</f>
        <v>0.16829805917600002</v>
      </c>
      <c r="D52" s="55" t="s">
        <v>461</v>
      </c>
      <c r="E52" s="55"/>
      <c r="F52" s="55"/>
      <c r="G52" s="55"/>
      <c r="H52" s="55"/>
      <c r="I52" s="310"/>
      <c r="K52" s="281" t="s">
        <v>271</v>
      </c>
      <c r="L52" s="334">
        <v>0.2</v>
      </c>
      <c r="M52" s="335"/>
      <c r="N52" s="336"/>
      <c r="O52" s="118">
        <v>1.5</v>
      </c>
      <c r="T52" s="342" t="s">
        <v>290</v>
      </c>
      <c r="U52" s="405" t="s">
        <v>321</v>
      </c>
      <c r="V52" s="361">
        <v>7</v>
      </c>
      <c r="W52" s="400">
        <v>2</v>
      </c>
      <c r="X52" s="399">
        <v>6</v>
      </c>
      <c r="Y52" s="364" t="s">
        <v>110</v>
      </c>
      <c r="Z52" s="298" t="s">
        <v>110</v>
      </c>
      <c r="AA52" s="298">
        <v>160</v>
      </c>
      <c r="AB52" s="298">
        <v>160</v>
      </c>
      <c r="AC52" s="298">
        <v>100</v>
      </c>
      <c r="AD52" s="298">
        <v>0.02</v>
      </c>
      <c r="AE52" s="298">
        <v>0.75</v>
      </c>
      <c r="AF52" s="415">
        <v>0.02</v>
      </c>
      <c r="AG52" s="415">
        <v>0.02</v>
      </c>
      <c r="AH52" s="415">
        <v>1.4999999999999999E-2</v>
      </c>
      <c r="AI52" s="415">
        <v>0.01</v>
      </c>
      <c r="AJ52" s="324"/>
      <c r="AK52" s="324"/>
      <c r="AL52" s="324"/>
      <c r="AN52" s="538"/>
      <c r="AO52" s="538"/>
      <c r="AP52" s="538"/>
      <c r="AT52" s="16"/>
      <c r="AU52" s="519"/>
      <c r="AV52" s="519"/>
      <c r="AW52" s="519"/>
      <c r="AX52" s="519"/>
      <c r="AY52" s="519"/>
      <c r="AZ52" s="521"/>
      <c r="BA52" s="520"/>
      <c r="BB52" s="521"/>
      <c r="BC52" s="520"/>
      <c r="BD52" s="521"/>
      <c r="BE52" s="520"/>
      <c r="BF52" s="522"/>
      <c r="BG52" s="522"/>
      <c r="BH52" s="522"/>
      <c r="BI52" s="522"/>
      <c r="BJ52" s="522"/>
      <c r="BK52" s="16"/>
      <c r="BL52" s="16"/>
      <c r="BM52" s="16"/>
      <c r="EB52" s="20"/>
      <c r="EC52" s="27"/>
      <c r="ED52" s="100"/>
      <c r="EE52" s="77"/>
      <c r="EF52" s="77"/>
      <c r="EG52" s="44"/>
    </row>
    <row r="53" spans="1:137" ht="12.75" customHeight="1">
      <c r="A53" s="80"/>
      <c r="B53" s="55"/>
      <c r="C53" s="55"/>
      <c r="D53" s="55"/>
      <c r="E53" s="55"/>
      <c r="F53" s="55"/>
      <c r="G53" s="55"/>
      <c r="H53" s="55"/>
      <c r="I53" s="90"/>
      <c r="J53" s="25"/>
      <c r="K53" s="281" t="s">
        <v>272</v>
      </c>
      <c r="L53" s="334">
        <v>0.15</v>
      </c>
      <c r="M53" s="335"/>
      <c r="N53" s="336"/>
      <c r="O53" s="118">
        <v>1.6</v>
      </c>
      <c r="T53" s="343" t="s">
        <v>294</v>
      </c>
      <c r="U53" s="366"/>
      <c r="V53" s="366"/>
      <c r="W53" s="366"/>
      <c r="X53" s="366"/>
      <c r="Y53" s="366"/>
      <c r="Z53" s="366"/>
      <c r="AA53" s="366"/>
      <c r="AB53" s="366"/>
      <c r="AC53" s="344"/>
      <c r="AD53" s="323"/>
      <c r="AE53" s="344"/>
      <c r="AF53" s="343"/>
      <c r="AG53" s="323"/>
      <c r="AH53" s="323"/>
      <c r="AI53" s="344"/>
      <c r="AJ53" s="324"/>
      <c r="AK53" s="324"/>
      <c r="AL53" s="324"/>
      <c r="AN53" s="538"/>
      <c r="AO53" s="538"/>
      <c r="AP53" s="538"/>
      <c r="AT53" s="16"/>
      <c r="AU53" s="519"/>
      <c r="AV53" s="519"/>
      <c r="AW53" s="519"/>
      <c r="AX53" s="519"/>
      <c r="AY53" s="519"/>
      <c r="AZ53" s="521"/>
      <c r="BA53" s="520"/>
      <c r="BB53" s="521"/>
      <c r="BC53" s="520"/>
      <c r="BD53" s="521"/>
      <c r="BE53" s="520"/>
      <c r="BF53" s="522"/>
      <c r="BG53" s="522"/>
      <c r="BH53" s="523"/>
      <c r="BI53" s="523"/>
      <c r="BJ53" s="524"/>
      <c r="BK53" s="16"/>
      <c r="BL53" s="16"/>
      <c r="BM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8"/>
      <c r="DX53" s="19"/>
      <c r="EB53" s="20"/>
      <c r="EC53" s="27"/>
      <c r="ED53" s="100"/>
      <c r="EE53" s="77"/>
      <c r="EF53" s="77"/>
      <c r="EG53" s="44"/>
    </row>
    <row r="54" spans="1:137" ht="12.75" customHeight="1">
      <c r="A54" s="54" t="s">
        <v>58</v>
      </c>
      <c r="B54" s="55"/>
      <c r="C54" s="94"/>
      <c r="D54" s="81"/>
      <c r="E54" s="68"/>
      <c r="F54" s="55"/>
      <c r="G54" s="55"/>
      <c r="H54" s="56"/>
      <c r="I54" s="305"/>
      <c r="J54" s="25"/>
      <c r="K54" s="281" t="s">
        <v>273</v>
      </c>
      <c r="L54" s="337" t="s">
        <v>234</v>
      </c>
      <c r="M54" s="338"/>
      <c r="N54" s="339"/>
      <c r="O54" s="124">
        <v>1.7</v>
      </c>
      <c r="T54" s="357" t="s">
        <v>295</v>
      </c>
      <c r="U54" s="403" t="s">
        <v>432</v>
      </c>
      <c r="V54" s="358">
        <v>8</v>
      </c>
      <c r="W54" s="358">
        <v>3</v>
      </c>
      <c r="X54" s="358">
        <v>5.5</v>
      </c>
      <c r="Y54" s="296" t="s">
        <v>110</v>
      </c>
      <c r="Z54" s="296" t="s">
        <v>110</v>
      </c>
      <c r="AA54" s="296" t="s">
        <v>110</v>
      </c>
      <c r="AB54" s="296" t="s">
        <v>110</v>
      </c>
      <c r="AC54" s="296" t="s">
        <v>110</v>
      </c>
      <c r="AD54" s="299">
        <v>2.8000000000000001E-2</v>
      </c>
      <c r="AE54" s="469">
        <v>0.8</v>
      </c>
      <c r="AF54" s="419">
        <v>0.02</v>
      </c>
      <c r="AG54" s="419">
        <v>0.02</v>
      </c>
      <c r="AH54" s="419">
        <v>1.4999999999999999E-2</v>
      </c>
      <c r="AI54" s="419">
        <v>0.01</v>
      </c>
      <c r="AJ54" s="324"/>
      <c r="AK54" s="324"/>
      <c r="AL54" s="324"/>
      <c r="AN54" s="538"/>
      <c r="AO54" s="538"/>
      <c r="AP54" s="538"/>
      <c r="AT54" s="16"/>
      <c r="AU54" s="519"/>
      <c r="AV54" s="519"/>
      <c r="AW54" s="519"/>
      <c r="AX54" s="519"/>
      <c r="AY54" s="519"/>
      <c r="AZ54" s="521"/>
      <c r="BA54" s="520"/>
      <c r="BB54" s="521"/>
      <c r="BC54" s="520"/>
      <c r="BD54" s="521"/>
      <c r="BE54" s="520"/>
      <c r="BF54" s="522"/>
      <c r="BG54" s="522"/>
      <c r="BH54" s="523"/>
      <c r="BI54" s="524"/>
      <c r="BJ54" s="524"/>
      <c r="BK54" s="16"/>
      <c r="BL54" s="16"/>
      <c r="BM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8"/>
      <c r="DX54" s="19"/>
      <c r="EB54" s="20"/>
      <c r="EC54" s="27"/>
      <c r="ED54" s="100"/>
      <c r="EE54" s="77"/>
      <c r="EF54" s="77"/>
      <c r="EG54" s="44"/>
    </row>
    <row r="55" spans="1:137" ht="12.75" customHeight="1">
      <c r="A55" s="85"/>
      <c r="B55" s="64" t="s">
        <v>75</v>
      </c>
      <c r="C55" s="122" t="str">
        <f>IF($C$51="N.A.","N.A.",IF(OR($M$23="I",$M$23="II"),$M$32,IF($M$23="III",$N$32,IF($M$23="IV",$O$32))))</f>
        <v>C</v>
      </c>
      <c r="D55" s="55" t="s">
        <v>464</v>
      </c>
      <c r="E55" s="68"/>
      <c r="F55" s="120"/>
      <c r="G55" s="55"/>
      <c r="H55" s="200"/>
      <c r="I55" s="306"/>
      <c r="J55" s="25"/>
      <c r="K55" s="281" t="s">
        <v>274</v>
      </c>
      <c r="T55" s="325" t="s">
        <v>296</v>
      </c>
      <c r="U55" s="404" t="s">
        <v>433</v>
      </c>
      <c r="V55" s="359">
        <v>7</v>
      </c>
      <c r="W55" s="359">
        <v>3</v>
      </c>
      <c r="X55" s="359">
        <v>5.5</v>
      </c>
      <c r="Y55" s="297" t="s">
        <v>110</v>
      </c>
      <c r="Z55" s="297" t="s">
        <v>110</v>
      </c>
      <c r="AA55" s="297">
        <v>160</v>
      </c>
      <c r="AB55" s="297">
        <v>100</v>
      </c>
      <c r="AC55" s="297" t="s">
        <v>112</v>
      </c>
      <c r="AD55" s="297">
        <v>2.8000000000000001E-2</v>
      </c>
      <c r="AE55" s="384">
        <v>0.8</v>
      </c>
      <c r="AF55" s="415">
        <v>0.02</v>
      </c>
      <c r="AG55" s="415">
        <v>0.02</v>
      </c>
      <c r="AH55" s="415">
        <v>1.4999999999999999E-2</v>
      </c>
      <c r="AI55" s="415">
        <v>0.01</v>
      </c>
      <c r="AJ55" s="324"/>
      <c r="AK55" s="324"/>
      <c r="AL55" s="324"/>
      <c r="AN55" s="538"/>
      <c r="AO55" s="538"/>
      <c r="AP55" s="538"/>
      <c r="AT55" s="16"/>
      <c r="AU55" s="519"/>
      <c r="AV55" s="519"/>
      <c r="AW55" s="519"/>
      <c r="AX55" s="519"/>
      <c r="AY55" s="519"/>
      <c r="AZ55" s="521"/>
      <c r="BA55" s="520"/>
      <c r="BB55" s="521"/>
      <c r="BC55" s="520"/>
      <c r="BD55" s="521"/>
      <c r="BE55" s="520"/>
      <c r="BF55" s="522"/>
      <c r="BG55" s="522"/>
      <c r="BH55" s="524"/>
      <c r="BI55" s="524"/>
      <c r="BJ55" s="524"/>
      <c r="BK55" s="16"/>
      <c r="BL55" s="16"/>
      <c r="BM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8"/>
      <c r="DX55" s="19"/>
      <c r="EB55" s="20"/>
      <c r="EC55" s="27"/>
      <c r="ED55" s="100"/>
      <c r="EE55" s="77"/>
      <c r="EF55" s="77"/>
      <c r="EG55" s="44"/>
    </row>
    <row r="56" spans="1:137" ht="12.75" customHeight="1">
      <c r="A56" s="86"/>
      <c r="B56" s="64" t="s">
        <v>76</v>
      </c>
      <c r="C56" s="125" t="str">
        <f>IF($C$52="N.A.","N.A.",IF(OR($M$23="I",$M$23="II"),$M$41,IF($M$23="III",$N$41,IF($M$23="IV",$O$41))))</f>
        <v>C</v>
      </c>
      <c r="D56" s="55" t="s">
        <v>465</v>
      </c>
      <c r="E56" s="68"/>
      <c r="F56" s="55"/>
      <c r="G56" s="55"/>
      <c r="H56" s="56"/>
      <c r="I56" s="307"/>
      <c r="J56" s="25"/>
      <c r="K56" s="281" t="s">
        <v>275</v>
      </c>
      <c r="N56" s="136" t="s">
        <v>220</v>
      </c>
      <c r="O56" s="44">
        <f>IF($C$52&gt;0.4,1.4,IF($C$52&gt;=0.3,1.4,IF($C$52&gt;=0.2,(1.4-1.5)*($C$52-0.3)/(0.3-0.2)+1.4,IF($C$52&gt;=0.15,(1.5-1.6)*($C$52-0.2)/(0.2-0.15)+1.5,IF($C$52&gt;0.1,(1.6-1.7)*($C$52-0.15)/(0.15-0.1)+1.6,1.7)   ))))</f>
        <v>1.563403881648</v>
      </c>
      <c r="T56" s="325" t="s">
        <v>297</v>
      </c>
      <c r="U56" s="404" t="s">
        <v>434</v>
      </c>
      <c r="V56" s="359">
        <v>4.5</v>
      </c>
      <c r="W56" s="359">
        <v>3</v>
      </c>
      <c r="X56" s="359">
        <v>4</v>
      </c>
      <c r="Y56" s="297" t="s">
        <v>110</v>
      </c>
      <c r="Z56" s="297" t="s">
        <v>110</v>
      </c>
      <c r="AA56" s="297">
        <v>35</v>
      </c>
      <c r="AB56" s="297" t="s">
        <v>112</v>
      </c>
      <c r="AC56" s="297" t="s">
        <v>112</v>
      </c>
      <c r="AD56" s="297">
        <v>2.8000000000000001E-2</v>
      </c>
      <c r="AE56" s="384">
        <v>0.8</v>
      </c>
      <c r="AF56" s="415">
        <v>0.02</v>
      </c>
      <c r="AG56" s="415">
        <v>0.02</v>
      </c>
      <c r="AH56" s="415">
        <v>1.4999999999999999E-2</v>
      </c>
      <c r="AI56" s="415">
        <v>0.01</v>
      </c>
      <c r="AJ56" s="324"/>
      <c r="AK56" s="324"/>
      <c r="AL56" s="324"/>
      <c r="AT56" s="16"/>
      <c r="AU56" s="519"/>
      <c r="AV56" s="519"/>
      <c r="AW56" s="519"/>
      <c r="AX56" s="519"/>
      <c r="AY56" s="519"/>
      <c r="AZ56" s="521"/>
      <c r="BA56" s="520"/>
      <c r="BB56" s="521"/>
      <c r="BC56" s="520"/>
      <c r="BD56" s="521"/>
      <c r="BE56" s="520"/>
      <c r="BF56" s="522"/>
      <c r="BG56" s="522"/>
      <c r="BH56" s="522"/>
      <c r="BI56" s="522"/>
      <c r="BJ56" s="522"/>
      <c r="BK56" s="16"/>
      <c r="BL56" s="16"/>
      <c r="BM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8"/>
      <c r="DX56" s="19"/>
      <c r="EB56" s="20"/>
      <c r="EC56" s="27"/>
      <c r="ED56" s="100"/>
      <c r="EE56" s="77"/>
      <c r="EF56" s="77"/>
      <c r="EG56" s="44"/>
    </row>
    <row r="57" spans="1:137" ht="12.75" customHeight="1">
      <c r="A57" s="80"/>
      <c r="B57" s="67" t="s">
        <v>85</v>
      </c>
      <c r="C57" s="124" t="str">
        <f>IF(OR($C$55="N.A.",$C$56="N.A."),"N.A.",$P$43)</f>
        <v>C</v>
      </c>
      <c r="D57" s="55" t="s">
        <v>86</v>
      </c>
      <c r="E57" s="55"/>
      <c r="F57" s="120"/>
      <c r="G57" s="105"/>
      <c r="H57" s="105"/>
      <c r="I57" s="130"/>
      <c r="J57" s="25"/>
      <c r="K57" s="281" t="s">
        <v>276</v>
      </c>
      <c r="T57" s="325" t="s">
        <v>298</v>
      </c>
      <c r="U57" s="404" t="s">
        <v>435</v>
      </c>
      <c r="V57" s="359">
        <v>3.5</v>
      </c>
      <c r="W57" s="359">
        <v>3</v>
      </c>
      <c r="X57" s="359">
        <v>3</v>
      </c>
      <c r="Y57" s="297" t="s">
        <v>110</v>
      </c>
      <c r="Z57" s="297" t="s">
        <v>110</v>
      </c>
      <c r="AA57" s="297" t="s">
        <v>112</v>
      </c>
      <c r="AB57" s="297" t="s">
        <v>112</v>
      </c>
      <c r="AC57" s="297" t="s">
        <v>112</v>
      </c>
      <c r="AD57" s="297">
        <v>2.8000000000000001E-2</v>
      </c>
      <c r="AE57" s="384">
        <v>0.8</v>
      </c>
      <c r="AF57" s="415">
        <v>0.02</v>
      </c>
      <c r="AG57" s="415">
        <v>0.02</v>
      </c>
      <c r="AH57" s="415">
        <v>1.4999999999999999E-2</v>
      </c>
      <c r="AI57" s="415">
        <v>0.01</v>
      </c>
      <c r="AJ57" s="324"/>
      <c r="AK57" s="324"/>
      <c r="AL57" s="324"/>
      <c r="AT57" s="16"/>
      <c r="AU57" s="519"/>
      <c r="AV57" s="519"/>
      <c r="AW57" s="519"/>
      <c r="AX57" s="519"/>
      <c r="AY57" s="519"/>
      <c r="AZ57" s="521"/>
      <c r="BA57" s="520"/>
      <c r="BB57" s="521"/>
      <c r="BC57" s="520"/>
      <c r="BD57" s="521"/>
      <c r="BE57" s="520"/>
      <c r="BF57" s="522"/>
      <c r="BG57" s="522"/>
      <c r="BH57" s="524"/>
      <c r="BI57" s="524"/>
      <c r="BJ57" s="524"/>
      <c r="BK57" s="16"/>
      <c r="BL57" s="16"/>
      <c r="BM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8"/>
      <c r="DX57" s="19"/>
      <c r="EB57" s="20"/>
      <c r="EC57" s="27"/>
      <c r="ED57" s="100"/>
      <c r="EE57" s="77"/>
      <c r="EF57" s="77"/>
      <c r="EG57" s="44"/>
    </row>
    <row r="58" spans="1:137" ht="12.75" customHeight="1">
      <c r="A58" s="311"/>
      <c r="B58" s="312"/>
      <c r="C58" s="312"/>
      <c r="D58" s="312"/>
      <c r="E58" s="312"/>
      <c r="F58" s="312"/>
      <c r="G58" s="312"/>
      <c r="H58" s="312"/>
      <c r="I58" s="402" t="s">
        <v>377</v>
      </c>
      <c r="J58" s="25"/>
      <c r="K58" s="281" t="s">
        <v>277</v>
      </c>
      <c r="M58" s="145"/>
      <c r="T58" s="325" t="s">
        <v>299</v>
      </c>
      <c r="U58" s="404" t="s">
        <v>137</v>
      </c>
      <c r="V58" s="359">
        <v>8</v>
      </c>
      <c r="W58" s="359">
        <v>3</v>
      </c>
      <c r="X58" s="359">
        <v>5.5</v>
      </c>
      <c r="Y58" s="297" t="s">
        <v>110</v>
      </c>
      <c r="Z58" s="297" t="s">
        <v>110</v>
      </c>
      <c r="AA58" s="297" t="s">
        <v>110</v>
      </c>
      <c r="AB58" s="297" t="s">
        <v>110</v>
      </c>
      <c r="AC58" s="297" t="s">
        <v>110</v>
      </c>
      <c r="AD58" s="297">
        <v>1.6E-2</v>
      </c>
      <c r="AE58" s="384">
        <v>0.9</v>
      </c>
      <c r="AF58" s="415">
        <v>0.02</v>
      </c>
      <c r="AG58" s="415">
        <v>0.02</v>
      </c>
      <c r="AH58" s="415">
        <v>1.4999999999999999E-2</v>
      </c>
      <c r="AI58" s="415">
        <v>0.01</v>
      </c>
      <c r="AJ58" s="324"/>
      <c r="AK58" s="324"/>
      <c r="AL58" s="324"/>
      <c r="AT58" s="16"/>
      <c r="AU58" s="519"/>
      <c r="AV58" s="519"/>
      <c r="AW58" s="519"/>
      <c r="AX58" s="519"/>
      <c r="AY58" s="519"/>
      <c r="AZ58" s="521"/>
      <c r="BA58" s="520"/>
      <c r="BB58" s="521"/>
      <c r="BC58" s="520"/>
      <c r="BD58" s="521"/>
      <c r="BE58" s="520"/>
      <c r="BF58" s="522"/>
      <c r="BG58" s="524"/>
      <c r="BH58" s="524"/>
      <c r="BI58" s="524"/>
      <c r="BJ58" s="524"/>
      <c r="BK58" s="16"/>
      <c r="BL58" s="16"/>
      <c r="BM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8"/>
      <c r="DX58" s="19"/>
      <c r="EB58" s="20"/>
      <c r="EC58" s="27"/>
      <c r="ED58" s="100"/>
      <c r="EE58" s="77"/>
      <c r="EF58" s="77"/>
      <c r="EG58" s="44"/>
    </row>
    <row r="59" spans="1:137" ht="12.75" customHeight="1">
      <c r="A59" s="141"/>
      <c r="B59" s="142"/>
      <c r="C59" s="142"/>
      <c r="D59" s="527"/>
      <c r="E59" s="142"/>
      <c r="F59" s="142"/>
      <c r="G59" s="142"/>
      <c r="H59" s="142"/>
      <c r="I59" s="143"/>
      <c r="J59" s="25"/>
      <c r="K59" s="281" t="s">
        <v>278</v>
      </c>
      <c r="M59" s="77"/>
      <c r="T59" s="325" t="s">
        <v>300</v>
      </c>
      <c r="U59" s="404" t="s">
        <v>436</v>
      </c>
      <c r="V59" s="359">
        <v>5</v>
      </c>
      <c r="W59" s="359">
        <v>3</v>
      </c>
      <c r="X59" s="359">
        <v>4.5</v>
      </c>
      <c r="Y59" s="297" t="s">
        <v>110</v>
      </c>
      <c r="Z59" s="297" t="s">
        <v>110</v>
      </c>
      <c r="AA59" s="297" t="s">
        <v>112</v>
      </c>
      <c r="AB59" s="297" t="s">
        <v>112</v>
      </c>
      <c r="AC59" s="297" t="s">
        <v>112</v>
      </c>
      <c r="AD59" s="297">
        <v>1.6E-2</v>
      </c>
      <c r="AE59" s="384">
        <v>0.9</v>
      </c>
      <c r="AF59" s="415">
        <v>0.02</v>
      </c>
      <c r="AG59" s="415">
        <v>0.02</v>
      </c>
      <c r="AH59" s="415">
        <v>1.4999999999999999E-2</v>
      </c>
      <c r="AI59" s="415">
        <v>0.01</v>
      </c>
      <c r="AJ59" s="324"/>
      <c r="AK59" s="324"/>
      <c r="AL59" s="324"/>
      <c r="AT59" s="16"/>
      <c r="AU59" s="519"/>
      <c r="AV59" s="519"/>
      <c r="AW59" s="519"/>
      <c r="AX59" s="519"/>
      <c r="AY59" s="519"/>
      <c r="AZ59" s="521"/>
      <c r="BA59" s="520"/>
      <c r="BB59" s="521"/>
      <c r="BC59" s="520"/>
      <c r="BD59" s="521"/>
      <c r="BE59" s="520"/>
      <c r="BF59" s="522"/>
      <c r="BG59" s="522"/>
      <c r="BH59" s="522"/>
      <c r="BI59" s="522"/>
      <c r="BJ59" s="522"/>
      <c r="BK59" s="16"/>
      <c r="BL59" s="16"/>
      <c r="BM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8"/>
      <c r="DX59" s="19"/>
      <c r="EB59" s="20"/>
      <c r="EC59" s="27"/>
      <c r="ED59" s="100"/>
      <c r="EE59" s="77"/>
      <c r="EF59" s="77"/>
      <c r="EG59" s="44"/>
    </row>
    <row r="60" spans="1:137" ht="12.75" customHeight="1">
      <c r="A60" s="54" t="s">
        <v>228</v>
      </c>
      <c r="B60" s="20"/>
      <c r="C60" s="20"/>
      <c r="D60" s="20"/>
      <c r="E60" s="20"/>
      <c r="F60" s="20"/>
      <c r="G60" s="105"/>
      <c r="H60" s="105"/>
      <c r="I60" s="314"/>
      <c r="J60" s="25"/>
      <c r="K60" s="281" t="s">
        <v>279</v>
      </c>
      <c r="M60" s="77"/>
      <c r="T60" s="325" t="s">
        <v>301</v>
      </c>
      <c r="U60" s="404" t="s">
        <v>437</v>
      </c>
      <c r="V60" s="359">
        <v>3</v>
      </c>
      <c r="W60" s="359">
        <v>3</v>
      </c>
      <c r="X60" s="359">
        <v>2.5</v>
      </c>
      <c r="Y60" s="297" t="s">
        <v>110</v>
      </c>
      <c r="Z60" s="297" t="s">
        <v>112</v>
      </c>
      <c r="AA60" s="297" t="s">
        <v>112</v>
      </c>
      <c r="AB60" s="297" t="s">
        <v>112</v>
      </c>
      <c r="AC60" s="297" t="s">
        <v>112</v>
      </c>
      <c r="AD60" s="297">
        <v>1.6E-2</v>
      </c>
      <c r="AE60" s="384">
        <v>0.9</v>
      </c>
      <c r="AF60" s="415">
        <v>0.02</v>
      </c>
      <c r="AG60" s="415">
        <v>0.02</v>
      </c>
      <c r="AH60" s="415">
        <v>1.4999999999999999E-2</v>
      </c>
      <c r="AI60" s="415">
        <v>0.01</v>
      </c>
      <c r="AJ60" s="324"/>
      <c r="AK60" s="324"/>
      <c r="AL60" s="324"/>
      <c r="AT60" s="16"/>
      <c r="AU60" s="519"/>
      <c r="AV60" s="519"/>
      <c r="AW60" s="519"/>
      <c r="AX60" s="519"/>
      <c r="AY60" s="519"/>
      <c r="AZ60" s="521"/>
      <c r="BA60" s="520"/>
      <c r="BB60" s="521"/>
      <c r="BC60" s="520"/>
      <c r="BD60" s="521"/>
      <c r="BE60" s="520"/>
      <c r="BF60" s="522"/>
      <c r="BG60" s="522"/>
      <c r="BH60" s="524"/>
      <c r="BI60" s="524"/>
      <c r="BJ60" s="524"/>
      <c r="BK60" s="16"/>
      <c r="BL60" s="16"/>
      <c r="BM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8"/>
      <c r="DX60" s="19"/>
      <c r="EB60" s="20"/>
      <c r="EC60" s="27"/>
      <c r="ED60" s="100"/>
      <c r="EE60" s="77"/>
      <c r="EF60" s="77"/>
      <c r="EG60" s="44"/>
    </row>
    <row r="61" spans="1:137" ht="12.75" customHeight="1">
      <c r="A61" s="80"/>
      <c r="B61" s="67" t="s">
        <v>166</v>
      </c>
      <c r="C61" s="341">
        <f>IF($C$57="N.A.","N.A.",VLOOKUP($C$15,$T$8:$AE$97,5, FALSE))</f>
        <v>5</v>
      </c>
      <c r="D61" s="89" t="s">
        <v>477</v>
      </c>
      <c r="E61" s="55"/>
      <c r="F61" s="120"/>
      <c r="G61" s="105"/>
      <c r="H61" s="208"/>
      <c r="I61" s="314"/>
      <c r="K61" s="281" t="s">
        <v>280</v>
      </c>
      <c r="M61" s="77"/>
      <c r="T61" s="325" t="s">
        <v>302</v>
      </c>
      <c r="U61" s="404" t="s">
        <v>438</v>
      </c>
      <c r="V61" s="359">
        <v>8</v>
      </c>
      <c r="W61" s="359">
        <v>3</v>
      </c>
      <c r="X61" s="359">
        <v>5.5</v>
      </c>
      <c r="Y61" s="297" t="s">
        <v>110</v>
      </c>
      <c r="Z61" s="297" t="s">
        <v>110</v>
      </c>
      <c r="AA61" s="297" t="s">
        <v>110</v>
      </c>
      <c r="AB61" s="297" t="s">
        <v>110</v>
      </c>
      <c r="AC61" s="297" t="s">
        <v>110</v>
      </c>
      <c r="AD61" s="297">
        <v>0.02</v>
      </c>
      <c r="AE61" s="297">
        <v>0.75</v>
      </c>
      <c r="AF61" s="415">
        <v>0.02</v>
      </c>
      <c r="AG61" s="415">
        <v>0.02</v>
      </c>
      <c r="AH61" s="415">
        <v>1.4999999999999999E-2</v>
      </c>
      <c r="AI61" s="415">
        <v>0.01</v>
      </c>
      <c r="AJ61" s="303"/>
      <c r="AK61" s="303"/>
      <c r="AL61" s="324"/>
      <c r="AT61" s="16"/>
      <c r="AU61" s="519"/>
      <c r="AV61" s="519"/>
      <c r="AW61" s="519"/>
      <c r="AX61" s="519"/>
      <c r="AY61" s="519"/>
      <c r="AZ61" s="521"/>
      <c r="BA61" s="520"/>
      <c r="BB61" s="521"/>
      <c r="BC61" s="520"/>
      <c r="BD61" s="521"/>
      <c r="BE61" s="520"/>
      <c r="BF61" s="523"/>
      <c r="BG61" s="523"/>
      <c r="BH61" s="523"/>
      <c r="BI61" s="524"/>
      <c r="BJ61" s="524"/>
      <c r="BK61" s="16"/>
      <c r="BL61" s="16"/>
      <c r="BM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8"/>
      <c r="DX61" s="19"/>
      <c r="EB61" s="20"/>
      <c r="EC61" s="27"/>
      <c r="ED61" s="100"/>
      <c r="EE61" s="77"/>
      <c r="EF61" s="77"/>
      <c r="EG61" s="44"/>
    </row>
    <row r="62" spans="1:137" ht="12.75" customHeight="1">
      <c r="A62" s="80"/>
      <c r="B62" s="67"/>
      <c r="C62" s="47"/>
      <c r="D62" s="55"/>
      <c r="E62" s="55"/>
      <c r="F62" s="55"/>
      <c r="G62" s="55"/>
      <c r="H62" s="55"/>
      <c r="I62" s="90"/>
      <c r="J62" s="33"/>
      <c r="K62" s="281" t="s">
        <v>281</v>
      </c>
      <c r="M62" s="145"/>
      <c r="T62" s="325" t="s">
        <v>303</v>
      </c>
      <c r="U62" s="404" t="s">
        <v>439</v>
      </c>
      <c r="V62" s="359">
        <v>5</v>
      </c>
      <c r="W62" s="359">
        <v>3</v>
      </c>
      <c r="X62" s="359">
        <v>4.5</v>
      </c>
      <c r="Y62" s="297" t="s">
        <v>110</v>
      </c>
      <c r="Z62" s="297" t="s">
        <v>110</v>
      </c>
      <c r="AA62" s="297" t="s">
        <v>112</v>
      </c>
      <c r="AB62" s="297" t="s">
        <v>112</v>
      </c>
      <c r="AC62" s="297" t="s">
        <v>112</v>
      </c>
      <c r="AD62" s="297">
        <v>0.02</v>
      </c>
      <c r="AE62" s="297">
        <v>0.75</v>
      </c>
      <c r="AF62" s="415">
        <v>0.02</v>
      </c>
      <c r="AG62" s="415">
        <v>0.02</v>
      </c>
      <c r="AH62" s="415">
        <v>1.4999999999999999E-2</v>
      </c>
      <c r="AI62" s="415">
        <v>0.01</v>
      </c>
      <c r="AJ62" s="324"/>
      <c r="AK62" s="324"/>
      <c r="AL62" s="324"/>
      <c r="AT62" s="16"/>
      <c r="AU62" s="519"/>
      <c r="AV62" s="519"/>
      <c r="AW62" s="519"/>
      <c r="AX62" s="519"/>
      <c r="AY62" s="519"/>
      <c r="AZ62" s="521"/>
      <c r="BA62" s="520"/>
      <c r="BB62" s="521"/>
      <c r="BC62" s="520"/>
      <c r="BD62" s="521"/>
      <c r="BE62" s="520"/>
      <c r="BF62" s="522"/>
      <c r="BG62" s="524"/>
      <c r="BH62" s="524"/>
      <c r="BI62" s="524"/>
      <c r="BJ62" s="524"/>
      <c r="BK62" s="16"/>
      <c r="BL62" s="16"/>
      <c r="BM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8"/>
      <c r="DX62" s="19"/>
      <c r="EB62" s="20"/>
      <c r="EC62" s="27"/>
      <c r="ED62" s="100"/>
      <c r="EE62" s="77"/>
      <c r="EF62" s="77"/>
      <c r="EG62" s="44"/>
    </row>
    <row r="63" spans="1:137" ht="12.75" customHeight="1">
      <c r="A63" s="80"/>
      <c r="B63" s="67"/>
      <c r="C63" s="67" t="s">
        <v>7</v>
      </c>
      <c r="D63" s="89" t="s">
        <v>479</v>
      </c>
      <c r="E63" s="55"/>
      <c r="F63" s="132"/>
      <c r="G63" s="105"/>
      <c r="H63" s="208"/>
      <c r="I63" s="314"/>
      <c r="J63" s="33"/>
      <c r="K63" s="281" t="s">
        <v>282</v>
      </c>
      <c r="T63" s="325" t="s">
        <v>304</v>
      </c>
      <c r="U63" s="404" t="s">
        <v>440</v>
      </c>
      <c r="V63" s="359">
        <v>6</v>
      </c>
      <c r="W63" s="359">
        <v>3</v>
      </c>
      <c r="X63" s="359">
        <v>5.5</v>
      </c>
      <c r="Y63" s="297">
        <v>160</v>
      </c>
      <c r="Z63" s="297">
        <v>160</v>
      </c>
      <c r="AA63" s="297">
        <v>100</v>
      </c>
      <c r="AB63" s="297" t="s">
        <v>112</v>
      </c>
      <c r="AC63" s="297" t="s">
        <v>112</v>
      </c>
      <c r="AD63" s="297">
        <v>0.02</v>
      </c>
      <c r="AE63" s="297">
        <v>0.75</v>
      </c>
      <c r="AF63" s="415">
        <v>0.02</v>
      </c>
      <c r="AG63" s="415">
        <v>0.02</v>
      </c>
      <c r="AH63" s="415">
        <v>1.4999999999999999E-2</v>
      </c>
      <c r="AI63" s="415">
        <v>0.01</v>
      </c>
      <c r="AJ63" s="324"/>
      <c r="AK63" s="324"/>
      <c r="AL63" s="303"/>
      <c r="AT63" s="16"/>
      <c r="AU63" s="525"/>
      <c r="AV63" s="518"/>
      <c r="AW63" s="518"/>
      <c r="AX63" s="518"/>
      <c r="AY63" s="518"/>
      <c r="AZ63" s="509"/>
      <c r="BA63" s="509"/>
      <c r="BB63" s="509"/>
      <c r="BC63" s="509"/>
      <c r="BD63" s="509"/>
      <c r="BE63" s="509"/>
      <c r="BF63" s="509"/>
      <c r="BG63" s="509"/>
      <c r="BH63" s="509"/>
      <c r="BI63" s="509"/>
      <c r="BJ63" s="509"/>
      <c r="BK63" s="16"/>
      <c r="BL63" s="16"/>
      <c r="BM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8"/>
      <c r="DX63" s="19"/>
      <c r="EB63" s="20"/>
      <c r="EC63" s="27"/>
      <c r="ED63" s="100"/>
      <c r="EE63" s="77"/>
      <c r="EF63" s="77"/>
      <c r="EG63" s="44"/>
    </row>
    <row r="64" spans="1:137" ht="12.75" customHeight="1">
      <c r="A64" s="80"/>
      <c r="B64" s="55"/>
      <c r="C64" s="67" t="s">
        <v>120</v>
      </c>
      <c r="D64" s="89" t="s">
        <v>478</v>
      </c>
      <c r="E64" s="55"/>
      <c r="F64" s="55"/>
      <c r="G64" s="55"/>
      <c r="H64" s="55"/>
      <c r="I64" s="90"/>
      <c r="J64" s="33"/>
      <c r="K64" s="281" t="s">
        <v>283</v>
      </c>
      <c r="T64" s="325" t="s">
        <v>305</v>
      </c>
      <c r="U64" s="404" t="s">
        <v>441</v>
      </c>
      <c r="V64" s="359">
        <v>3</v>
      </c>
      <c r="W64" s="359">
        <v>3</v>
      </c>
      <c r="X64" s="359">
        <v>2.5</v>
      </c>
      <c r="Y64" s="297" t="s">
        <v>110</v>
      </c>
      <c r="Z64" s="297" t="s">
        <v>112</v>
      </c>
      <c r="AA64" s="297" t="s">
        <v>112</v>
      </c>
      <c r="AB64" s="297" t="s">
        <v>112</v>
      </c>
      <c r="AC64" s="297" t="s">
        <v>112</v>
      </c>
      <c r="AD64" s="322">
        <v>0.02</v>
      </c>
      <c r="AE64" s="297">
        <v>0.75</v>
      </c>
      <c r="AF64" s="415">
        <v>0.02</v>
      </c>
      <c r="AG64" s="415">
        <v>0.02</v>
      </c>
      <c r="AH64" s="415">
        <v>1.4999999999999999E-2</v>
      </c>
      <c r="AI64" s="415">
        <v>0.01</v>
      </c>
      <c r="AJ64" s="324"/>
      <c r="AK64" s="324"/>
      <c r="AL64" s="324"/>
      <c r="AT64" s="16"/>
      <c r="AU64" s="519"/>
      <c r="AV64" s="520"/>
      <c r="AW64" s="520"/>
      <c r="AX64" s="520"/>
      <c r="AY64" s="520"/>
      <c r="AZ64" s="521"/>
      <c r="BA64" s="520"/>
      <c r="BB64" s="521"/>
      <c r="BC64" s="520"/>
      <c r="BD64" s="521"/>
      <c r="BE64" s="520"/>
      <c r="BF64" s="522"/>
      <c r="BG64" s="522"/>
      <c r="BH64" s="522"/>
      <c r="BI64" s="522"/>
      <c r="BJ64" s="522"/>
      <c r="BK64" s="16"/>
      <c r="BL64" s="16"/>
      <c r="BM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8"/>
      <c r="DX64" s="19"/>
      <c r="EB64" s="20"/>
      <c r="EC64" s="27"/>
      <c r="ED64" s="100"/>
      <c r="EE64" s="77"/>
      <c r="EF64" s="77"/>
      <c r="EG64" s="44"/>
    </row>
    <row r="65" spans="1:137" ht="12.75" customHeight="1">
      <c r="A65" s="80"/>
      <c r="B65" s="55"/>
      <c r="C65" s="67" t="s">
        <v>122</v>
      </c>
      <c r="D65" s="459" t="s">
        <v>480</v>
      </c>
      <c r="E65" s="55"/>
      <c r="F65" s="55"/>
      <c r="G65" s="55"/>
      <c r="H65" s="55"/>
      <c r="I65" s="90"/>
      <c r="J65" s="33"/>
      <c r="K65" s="281" t="s">
        <v>284</v>
      </c>
      <c r="T65" s="325" t="s">
        <v>442</v>
      </c>
      <c r="U65" s="404" t="s">
        <v>443</v>
      </c>
      <c r="V65" s="359">
        <v>3.5</v>
      </c>
      <c r="W65" s="359">
        <v>3</v>
      </c>
      <c r="X65" s="359">
        <v>3.5</v>
      </c>
      <c r="Y65" s="297">
        <v>35</v>
      </c>
      <c r="Z65" s="297">
        <v>35</v>
      </c>
      <c r="AA65" s="297">
        <v>35</v>
      </c>
      <c r="AB65" s="297">
        <v>35</v>
      </c>
      <c r="AC65" s="297">
        <v>35</v>
      </c>
      <c r="AD65" s="322">
        <v>0.02</v>
      </c>
      <c r="AE65" s="297">
        <v>0.75</v>
      </c>
      <c r="AF65" s="415">
        <v>0.02</v>
      </c>
      <c r="AG65" s="415">
        <v>0.02</v>
      </c>
      <c r="AH65" s="415">
        <v>1.4999999999999999E-2</v>
      </c>
      <c r="AI65" s="415">
        <v>0.01</v>
      </c>
      <c r="AJ65" s="324"/>
      <c r="AK65" s="324"/>
      <c r="AL65" s="324"/>
      <c r="AT65" s="16"/>
      <c r="AU65" s="519"/>
      <c r="AV65" s="520"/>
      <c r="AW65" s="520"/>
      <c r="AX65" s="520"/>
      <c r="AY65" s="520"/>
      <c r="AZ65" s="521"/>
      <c r="BA65" s="520"/>
      <c r="BB65" s="521"/>
      <c r="BC65" s="520"/>
      <c r="BD65" s="521"/>
      <c r="BE65" s="520"/>
      <c r="BF65" s="522"/>
      <c r="BG65" s="522"/>
      <c r="BH65" s="522"/>
      <c r="BI65" s="522"/>
      <c r="BJ65" s="522"/>
      <c r="BK65" s="16"/>
      <c r="BL65" s="16"/>
      <c r="BM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8"/>
      <c r="DX65" s="19"/>
      <c r="EB65" s="20"/>
      <c r="EC65" s="27"/>
      <c r="ED65" s="100"/>
      <c r="EE65" s="77"/>
      <c r="EF65" s="77"/>
      <c r="EG65" s="44"/>
    </row>
    <row r="66" spans="1:137" ht="12.75" customHeight="1">
      <c r="A66" s="80"/>
      <c r="B66" s="55"/>
      <c r="C66" s="67" t="s">
        <v>123</v>
      </c>
      <c r="D66" s="55" t="s">
        <v>23</v>
      </c>
      <c r="E66" s="55"/>
      <c r="F66" s="55"/>
      <c r="G66" s="55"/>
      <c r="H66" s="55"/>
      <c r="I66" s="90"/>
      <c r="J66" s="33"/>
      <c r="K66" s="281" t="s">
        <v>285</v>
      </c>
      <c r="T66" s="343" t="s">
        <v>319</v>
      </c>
      <c r="U66" s="366"/>
      <c r="V66" s="366"/>
      <c r="W66" s="366"/>
      <c r="X66" s="366"/>
      <c r="Y66" s="366"/>
      <c r="Z66" s="366"/>
      <c r="AA66" s="366"/>
      <c r="AB66" s="366"/>
      <c r="AC66" s="344"/>
      <c r="AD66" s="470"/>
      <c r="AE66" s="344"/>
      <c r="AF66" s="343"/>
      <c r="AG66" s="323"/>
      <c r="AH66" s="323"/>
      <c r="AI66" s="344"/>
      <c r="AJ66" s="324"/>
      <c r="AK66" s="324"/>
      <c r="AL66" s="324"/>
      <c r="AN66" s="458"/>
      <c r="AT66" s="16"/>
      <c r="AU66" s="519"/>
      <c r="AV66" s="520"/>
      <c r="AW66" s="520"/>
      <c r="AX66" s="520"/>
      <c r="AY66" s="520"/>
      <c r="AZ66" s="521"/>
      <c r="BA66" s="520"/>
      <c r="BB66" s="521"/>
      <c r="BC66" s="520"/>
      <c r="BD66" s="521"/>
      <c r="BE66" s="520"/>
      <c r="BF66" s="522"/>
      <c r="BG66" s="522"/>
      <c r="BH66" s="522"/>
      <c r="BI66" s="522"/>
      <c r="BJ66" s="522"/>
      <c r="BK66" s="16"/>
      <c r="BL66" s="16"/>
      <c r="BM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8"/>
      <c r="DX66" s="19"/>
      <c r="EB66" s="20"/>
      <c r="EC66" s="27"/>
      <c r="ED66" s="100"/>
      <c r="EE66" s="77"/>
      <c r="EF66" s="77"/>
      <c r="EG66" s="44"/>
    </row>
    <row r="67" spans="1:137" ht="12.75" customHeight="1">
      <c r="A67" s="80"/>
      <c r="B67" s="55"/>
      <c r="C67" s="55"/>
      <c r="D67" s="55"/>
      <c r="E67" s="55"/>
      <c r="F67" s="55"/>
      <c r="G67" s="55"/>
      <c r="H67" s="55"/>
      <c r="I67" s="90"/>
      <c r="J67" s="33"/>
      <c r="K67" s="27" t="s">
        <v>286</v>
      </c>
      <c r="L67" s="91"/>
      <c r="M67" s="147"/>
      <c r="N67" s="148"/>
      <c r="O67" s="128"/>
      <c r="P67" s="129"/>
      <c r="T67" s="385" t="s">
        <v>306</v>
      </c>
      <c r="U67" s="406" t="s">
        <v>320</v>
      </c>
      <c r="V67" s="368">
        <v>8</v>
      </c>
      <c r="W67" s="368">
        <v>2.5</v>
      </c>
      <c r="X67" s="368">
        <v>4</v>
      </c>
      <c r="Y67" s="300" t="s">
        <v>110</v>
      </c>
      <c r="Z67" s="300" t="s">
        <v>110</v>
      </c>
      <c r="AA67" s="300" t="s">
        <v>110</v>
      </c>
      <c r="AB67" s="300" t="s">
        <v>110</v>
      </c>
      <c r="AC67" s="300" t="s">
        <v>110</v>
      </c>
      <c r="AD67" s="320">
        <v>0.03</v>
      </c>
      <c r="AE67" s="320">
        <v>0.75</v>
      </c>
      <c r="AF67" s="418">
        <v>0.02</v>
      </c>
      <c r="AG67" s="418">
        <v>0.02</v>
      </c>
      <c r="AH67" s="418">
        <v>1.4999999999999999E-2</v>
      </c>
      <c r="AI67" s="418">
        <v>0.01</v>
      </c>
      <c r="AJ67" s="324"/>
      <c r="AK67" s="324"/>
      <c r="AL67" s="324"/>
      <c r="AT67" s="16"/>
      <c r="AU67" s="519"/>
      <c r="AV67" s="520"/>
      <c r="AW67" s="520"/>
      <c r="AX67" s="520"/>
      <c r="AY67" s="520"/>
      <c r="AZ67" s="521"/>
      <c r="BA67" s="520"/>
      <c r="BB67" s="521"/>
      <c r="BC67" s="520"/>
      <c r="BD67" s="521"/>
      <c r="BE67" s="520"/>
      <c r="BF67" s="522"/>
      <c r="BG67" s="522"/>
      <c r="BH67" s="524"/>
      <c r="BI67" s="524"/>
      <c r="BJ67" s="524"/>
      <c r="BK67" s="16"/>
      <c r="BL67" s="16"/>
      <c r="BM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8"/>
      <c r="DX67" s="19"/>
      <c r="EB67" s="20"/>
      <c r="EC67" s="27"/>
      <c r="ED67" s="100"/>
      <c r="EE67" s="77"/>
      <c r="EF67" s="77"/>
      <c r="EG67" s="44"/>
    </row>
    <row r="68" spans="1:137" ht="12.75" customHeight="1">
      <c r="A68" s="80"/>
      <c r="B68" s="442" t="s">
        <v>88</v>
      </c>
      <c r="C68" s="411" t="s">
        <v>224</v>
      </c>
      <c r="D68" s="260" t="s">
        <v>231</v>
      </c>
      <c r="E68" s="460" t="s">
        <v>231</v>
      </c>
      <c r="F68" s="411" t="s">
        <v>231</v>
      </c>
      <c r="G68" s="465" t="s">
        <v>232</v>
      </c>
      <c r="H68" s="411" t="s">
        <v>232</v>
      </c>
      <c r="I68" s="90"/>
      <c r="J68" s="53"/>
      <c r="K68" s="27" t="s">
        <v>287</v>
      </c>
      <c r="L68" s="91"/>
      <c r="M68" s="149"/>
      <c r="N68" s="150"/>
      <c r="O68" s="128"/>
      <c r="P68" s="70"/>
      <c r="T68" s="342" t="s">
        <v>307</v>
      </c>
      <c r="U68" s="404" t="s">
        <v>421</v>
      </c>
      <c r="V68" s="359">
        <v>7</v>
      </c>
      <c r="W68" s="361">
        <v>2.5</v>
      </c>
      <c r="X68" s="361">
        <v>5.5</v>
      </c>
      <c r="Y68" s="297" t="s">
        <v>110</v>
      </c>
      <c r="Z68" s="297" t="s">
        <v>110</v>
      </c>
      <c r="AA68" s="297" t="s">
        <v>110</v>
      </c>
      <c r="AB68" s="297" t="s">
        <v>110</v>
      </c>
      <c r="AC68" s="297" t="s">
        <v>110</v>
      </c>
      <c r="AD68" s="297">
        <v>0.02</v>
      </c>
      <c r="AE68" s="297">
        <v>0.75</v>
      </c>
      <c r="AF68" s="416">
        <v>0.02</v>
      </c>
      <c r="AG68" s="416">
        <v>0.02</v>
      </c>
      <c r="AH68" s="416">
        <v>1.4999999999999999E-2</v>
      </c>
      <c r="AI68" s="416">
        <v>0.01</v>
      </c>
      <c r="AJ68" s="324"/>
      <c r="AK68" s="324"/>
      <c r="AL68" s="324"/>
      <c r="AT68" s="16"/>
      <c r="AU68" s="519"/>
      <c r="AV68" s="520"/>
      <c r="AW68" s="520"/>
      <c r="AX68" s="520"/>
      <c r="AY68" s="520"/>
      <c r="AZ68" s="521"/>
      <c r="BA68" s="520"/>
      <c r="BB68" s="521"/>
      <c r="BC68" s="520"/>
      <c r="BD68" s="521"/>
      <c r="BE68" s="520"/>
      <c r="BF68" s="522"/>
      <c r="BG68" s="522"/>
      <c r="BH68" s="522"/>
      <c r="BI68" s="522"/>
      <c r="BJ68" s="522"/>
      <c r="BK68" s="16"/>
      <c r="BL68" s="16"/>
      <c r="BM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8"/>
      <c r="DX68" s="19"/>
      <c r="EB68" s="20"/>
      <c r="EC68" s="27"/>
      <c r="ED68" s="100"/>
      <c r="EE68" s="77"/>
      <c r="EF68" s="77"/>
      <c r="EG68" s="44"/>
    </row>
    <row r="69" spans="1:137" ht="12.75" customHeight="1">
      <c r="A69" s="80"/>
      <c r="B69" s="443" t="s">
        <v>98</v>
      </c>
      <c r="C69" s="440" t="s">
        <v>233</v>
      </c>
      <c r="D69" s="445" t="s">
        <v>225</v>
      </c>
      <c r="E69" s="461" t="s">
        <v>121</v>
      </c>
      <c r="F69" s="456" t="s">
        <v>209</v>
      </c>
      <c r="G69" s="466" t="s">
        <v>226</v>
      </c>
      <c r="H69" s="456" t="s">
        <v>209</v>
      </c>
      <c r="I69" s="168"/>
      <c r="J69" s="53"/>
      <c r="K69" s="27" t="s">
        <v>288</v>
      </c>
      <c r="L69" s="91"/>
      <c r="M69" s="149"/>
      <c r="N69" s="150"/>
      <c r="O69" s="128"/>
      <c r="P69" s="70"/>
      <c r="T69" s="325" t="s">
        <v>308</v>
      </c>
      <c r="U69" s="404" t="s">
        <v>125</v>
      </c>
      <c r="V69" s="359">
        <v>7</v>
      </c>
      <c r="W69" s="361">
        <v>2.5</v>
      </c>
      <c r="X69" s="361">
        <v>5.5</v>
      </c>
      <c r="Y69" s="297" t="s">
        <v>110</v>
      </c>
      <c r="Z69" s="297" t="s">
        <v>110</v>
      </c>
      <c r="AA69" s="297" t="s">
        <v>110</v>
      </c>
      <c r="AB69" s="297" t="s">
        <v>110</v>
      </c>
      <c r="AC69" s="297" t="s">
        <v>110</v>
      </c>
      <c r="AD69" s="297">
        <v>0.02</v>
      </c>
      <c r="AE69" s="297">
        <v>0.75</v>
      </c>
      <c r="AF69" s="415">
        <v>0.02</v>
      </c>
      <c r="AG69" s="415">
        <v>0.02</v>
      </c>
      <c r="AH69" s="415">
        <v>1.4999999999999999E-2</v>
      </c>
      <c r="AI69" s="415">
        <v>0.01</v>
      </c>
      <c r="AJ69" s="324"/>
      <c r="AK69" s="324"/>
      <c r="AL69" s="324"/>
      <c r="AT69" s="16"/>
      <c r="AU69" s="519"/>
      <c r="AV69" s="520"/>
      <c r="AW69" s="520"/>
      <c r="AX69" s="520"/>
      <c r="AY69" s="520"/>
      <c r="AZ69" s="521"/>
      <c r="BA69" s="520"/>
      <c r="BB69" s="521"/>
      <c r="BC69" s="520"/>
      <c r="BD69" s="521"/>
      <c r="BE69" s="520"/>
      <c r="BF69" s="522"/>
      <c r="BG69" s="522"/>
      <c r="BH69" s="522"/>
      <c r="BI69" s="522"/>
      <c r="BJ69" s="522"/>
      <c r="BK69" s="16"/>
      <c r="BL69" s="16"/>
      <c r="BM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8"/>
      <c r="DX69" s="19"/>
      <c r="EB69" s="20"/>
      <c r="EC69" s="27"/>
      <c r="ED69" s="100"/>
      <c r="EE69" s="77"/>
      <c r="EF69" s="77"/>
      <c r="EG69" s="44"/>
    </row>
    <row r="70" spans="1:137" ht="12.75" customHeight="1">
      <c r="A70" s="80"/>
      <c r="B70" s="444"/>
      <c r="C70" s="155" t="s">
        <v>91</v>
      </c>
      <c r="D70" s="261" t="s">
        <v>5</v>
      </c>
      <c r="E70" s="462" t="s">
        <v>5</v>
      </c>
      <c r="F70" s="464" t="s">
        <v>210</v>
      </c>
      <c r="G70" s="467" t="s">
        <v>5</v>
      </c>
      <c r="H70" s="464" t="s">
        <v>211</v>
      </c>
      <c r="I70" s="168"/>
      <c r="J70" s="53"/>
      <c r="K70" s="27" t="s">
        <v>289</v>
      </c>
      <c r="L70" s="91"/>
      <c r="M70" s="149"/>
      <c r="N70" s="150"/>
      <c r="O70" s="128"/>
      <c r="P70" s="70"/>
      <c r="T70" s="325" t="s">
        <v>309</v>
      </c>
      <c r="U70" s="404" t="s">
        <v>126</v>
      </c>
      <c r="V70" s="359">
        <v>6</v>
      </c>
      <c r="W70" s="361">
        <v>2.5</v>
      </c>
      <c r="X70" s="361">
        <v>5</v>
      </c>
      <c r="Y70" s="297" t="s">
        <v>110</v>
      </c>
      <c r="Z70" s="297" t="s">
        <v>110</v>
      </c>
      <c r="AA70" s="297" t="s">
        <v>112</v>
      </c>
      <c r="AB70" s="297" t="s">
        <v>112</v>
      </c>
      <c r="AC70" s="297" t="s">
        <v>112</v>
      </c>
      <c r="AD70" s="297">
        <v>0.02</v>
      </c>
      <c r="AE70" s="297">
        <v>0.75</v>
      </c>
      <c r="AF70" s="415">
        <v>0.02</v>
      </c>
      <c r="AG70" s="415">
        <v>0.02</v>
      </c>
      <c r="AH70" s="415">
        <v>1.4999999999999999E-2</v>
      </c>
      <c r="AI70" s="415">
        <v>0.01</v>
      </c>
      <c r="AJ70" s="324"/>
      <c r="AK70" s="324"/>
      <c r="AL70" s="324"/>
      <c r="AT70" s="16"/>
      <c r="AU70" s="519"/>
      <c r="AV70" s="520"/>
      <c r="AW70" s="520"/>
      <c r="AX70" s="520"/>
      <c r="AY70" s="520"/>
      <c r="AZ70" s="521"/>
      <c r="BA70" s="520"/>
      <c r="BB70" s="521"/>
      <c r="BC70" s="520"/>
      <c r="BD70" s="521"/>
      <c r="BE70" s="520"/>
      <c r="BF70" s="522"/>
      <c r="BG70" s="522"/>
      <c r="BH70" s="522"/>
      <c r="BI70" s="522"/>
      <c r="BJ70" s="522"/>
      <c r="BK70" s="16"/>
      <c r="BL70" s="16"/>
      <c r="BM70" s="16"/>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8"/>
      <c r="DX70" s="19"/>
      <c r="EB70" s="20"/>
      <c r="EC70" s="27"/>
      <c r="ED70" s="100"/>
      <c r="EE70" s="77"/>
      <c r="EF70" s="77"/>
      <c r="EG70" s="44"/>
    </row>
    <row r="71" spans="1:137" ht="12.75" customHeight="1">
      <c r="A71" s="80"/>
      <c r="B71" s="441">
        <f t="shared" ref="B71:B85" si="1">$B24</f>
        <v>3</v>
      </c>
      <c r="C71" s="446">
        <f>$C24-$C25</f>
        <v>12</v>
      </c>
      <c r="D71" s="449">
        <f t="shared" ref="D71:D85" si="2">IF($D24="N.A.","",IF($B71="","",$C$61*$D24/$C$9))</f>
        <v>6.25</v>
      </c>
      <c r="E71" s="449">
        <f>IF($D24="","",IF($B71="","",$D71-IF($B72="",0,$D72)))</f>
        <v>2.5</v>
      </c>
      <c r="F71" s="457">
        <f t="shared" ref="F71:F85" si="3">IF($D24="","",IF($B71="","",$E71/($C71*12)))</f>
        <v>1.7361111111111112E-2</v>
      </c>
      <c r="G71" s="492">
        <f t="shared" ref="G71:G85" si="4">IF($D24="","",IF($B71="","",$H71*$C71*12))</f>
        <v>2.88</v>
      </c>
      <c r="H71" s="493">
        <f t="shared" ref="H71:H85" si="5">IF($D24="","",IF($B71="","",IF($C$8="I",VLOOKUP($C$15,$T$8:$AI$99,13,FALSE),IF($C$8="II",VLOOKUP($C$15,$T$8:$AI$99,14,FALSE),IF($C$8="III",VLOOKUP($C$15,$T$8:$AI$99,15,FALSE),IF($C$8="IV",VLOOKUP($C$15,$T$8:$AI$99,16,FALSE)))))))</f>
        <v>0.02</v>
      </c>
      <c r="I71" s="90"/>
      <c r="J71" s="53"/>
      <c r="K71" s="27" t="s">
        <v>290</v>
      </c>
      <c r="L71" s="91"/>
      <c r="M71" s="149"/>
      <c r="N71" s="150"/>
      <c r="O71" s="128"/>
      <c r="P71" s="70"/>
      <c r="T71" s="325" t="s">
        <v>310</v>
      </c>
      <c r="U71" s="404" t="s">
        <v>423</v>
      </c>
      <c r="V71" s="359">
        <v>8</v>
      </c>
      <c r="W71" s="361">
        <v>2.5</v>
      </c>
      <c r="X71" s="361">
        <v>4</v>
      </c>
      <c r="Y71" s="297" t="s">
        <v>110</v>
      </c>
      <c r="Z71" s="297" t="s">
        <v>110</v>
      </c>
      <c r="AA71" s="297" t="s">
        <v>110</v>
      </c>
      <c r="AB71" s="297" t="s">
        <v>110</v>
      </c>
      <c r="AC71" s="297" t="s">
        <v>110</v>
      </c>
      <c r="AD71" s="297">
        <v>0.02</v>
      </c>
      <c r="AE71" s="297">
        <v>0.75</v>
      </c>
      <c r="AF71" s="415">
        <v>0.02</v>
      </c>
      <c r="AG71" s="415">
        <v>0.02</v>
      </c>
      <c r="AH71" s="415">
        <v>1.4999999999999999E-2</v>
      </c>
      <c r="AI71" s="415">
        <v>0.01</v>
      </c>
      <c r="AJ71" s="324"/>
      <c r="AK71" s="324"/>
      <c r="AL71" s="324"/>
      <c r="AT71" s="16"/>
      <c r="AU71" s="519"/>
      <c r="AV71" s="520"/>
      <c r="AW71" s="520"/>
      <c r="AX71" s="520"/>
      <c r="AY71" s="520"/>
      <c r="AZ71" s="521"/>
      <c r="BA71" s="520"/>
      <c r="BB71" s="521"/>
      <c r="BC71" s="520"/>
      <c r="BD71" s="521"/>
      <c r="BE71" s="520"/>
      <c r="BF71" s="522"/>
      <c r="BG71" s="522"/>
      <c r="BH71" s="522"/>
      <c r="BI71" s="522"/>
      <c r="BJ71" s="522"/>
      <c r="BK71" s="16"/>
      <c r="BL71" s="16"/>
      <c r="BM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8"/>
      <c r="DX71" s="19"/>
      <c r="EB71" s="20"/>
      <c r="EC71" s="27"/>
      <c r="ED71" s="100"/>
      <c r="EE71" s="77"/>
      <c r="EF71" s="77"/>
      <c r="EG71" s="44"/>
    </row>
    <row r="72" spans="1:137" ht="12.75" customHeight="1">
      <c r="A72" s="80"/>
      <c r="B72" s="349">
        <f t="shared" si="1"/>
        <v>2</v>
      </c>
      <c r="C72" s="162">
        <f t="shared" ref="C72:C85" si="6">IF($B72="","",$C25-$C26)</f>
        <v>14</v>
      </c>
      <c r="D72" s="450">
        <f t="shared" si="2"/>
        <v>3.75</v>
      </c>
      <c r="E72" s="450">
        <f t="shared" ref="E72:E85" si="7">IF($D25="","",IF($B72="","",$D72-IF($B73="",0,$D73)))</f>
        <v>2</v>
      </c>
      <c r="F72" s="463">
        <f t="shared" si="3"/>
        <v>1.1904761904761904E-2</v>
      </c>
      <c r="G72" s="451">
        <f t="shared" si="4"/>
        <v>3.3600000000000003</v>
      </c>
      <c r="H72" s="133">
        <f t="shared" si="5"/>
        <v>0.02</v>
      </c>
      <c r="I72" s="90"/>
      <c r="J72" s="53"/>
      <c r="K72" s="27" t="s">
        <v>291</v>
      </c>
      <c r="L72" s="91"/>
      <c r="M72" s="149"/>
      <c r="N72" s="150"/>
      <c r="O72" s="128"/>
      <c r="P72" s="70"/>
      <c r="T72" s="325" t="s">
        <v>311</v>
      </c>
      <c r="U72" s="404" t="s">
        <v>444</v>
      </c>
      <c r="V72" s="359">
        <v>6</v>
      </c>
      <c r="W72" s="361">
        <v>2.5</v>
      </c>
      <c r="X72" s="361">
        <v>5</v>
      </c>
      <c r="Y72" s="297" t="s">
        <v>110</v>
      </c>
      <c r="Z72" s="297" t="s">
        <v>110</v>
      </c>
      <c r="AA72" s="297" t="s">
        <v>110</v>
      </c>
      <c r="AB72" s="297" t="s">
        <v>110</v>
      </c>
      <c r="AC72" s="297" t="s">
        <v>110</v>
      </c>
      <c r="AD72" s="297">
        <v>0.02</v>
      </c>
      <c r="AE72" s="297">
        <v>0.75</v>
      </c>
      <c r="AF72" s="415">
        <v>0.02</v>
      </c>
      <c r="AG72" s="415">
        <v>0.02</v>
      </c>
      <c r="AH72" s="415">
        <v>1.4999999999999999E-2</v>
      </c>
      <c r="AI72" s="415">
        <v>0.01</v>
      </c>
      <c r="AJ72" s="324"/>
      <c r="AK72" s="324"/>
      <c r="AL72" s="324"/>
      <c r="AT72" s="16"/>
      <c r="AU72" s="519"/>
      <c r="AV72" s="520"/>
      <c r="AW72" s="520"/>
      <c r="AX72" s="520"/>
      <c r="AY72" s="520"/>
      <c r="AZ72" s="521"/>
      <c r="BA72" s="520"/>
      <c r="BB72" s="521"/>
      <c r="BC72" s="520"/>
      <c r="BD72" s="521"/>
      <c r="BE72" s="520"/>
      <c r="BF72" s="522"/>
      <c r="BG72" s="522"/>
      <c r="BH72" s="524"/>
      <c r="BI72" s="524"/>
      <c r="BJ72" s="524"/>
      <c r="BK72" s="16"/>
      <c r="BL72" s="16"/>
      <c r="BM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8"/>
      <c r="DX72" s="19"/>
      <c r="EB72" s="20"/>
      <c r="EC72" s="27"/>
      <c r="ED72" s="100"/>
      <c r="EE72" s="77"/>
      <c r="EF72" s="77"/>
      <c r="EG72" s="44"/>
    </row>
    <row r="73" spans="1:137" ht="12.75" customHeight="1">
      <c r="A73" s="80"/>
      <c r="B73" s="349">
        <f t="shared" si="1"/>
        <v>1</v>
      </c>
      <c r="C73" s="162">
        <f t="shared" si="6"/>
        <v>10</v>
      </c>
      <c r="D73" s="450">
        <f t="shared" si="2"/>
        <v>1.75</v>
      </c>
      <c r="E73" s="450">
        <f t="shared" si="7"/>
        <v>1.75</v>
      </c>
      <c r="F73" s="463">
        <f t="shared" si="3"/>
        <v>1.4583333333333334E-2</v>
      </c>
      <c r="G73" s="451">
        <f t="shared" si="4"/>
        <v>2.4000000000000004</v>
      </c>
      <c r="H73" s="133">
        <f t="shared" si="5"/>
        <v>0.02</v>
      </c>
      <c r="I73" s="90"/>
      <c r="J73" s="53"/>
      <c r="K73" s="281" t="s">
        <v>295</v>
      </c>
      <c r="L73" s="91"/>
      <c r="M73" s="149"/>
      <c r="N73" s="150"/>
      <c r="O73" s="128"/>
      <c r="P73" s="70"/>
      <c r="T73" s="325" t="s">
        <v>312</v>
      </c>
      <c r="U73" s="404" t="s">
        <v>445</v>
      </c>
      <c r="V73" s="359">
        <v>7.5</v>
      </c>
      <c r="W73" s="361">
        <v>2.5</v>
      </c>
      <c r="X73" s="361">
        <v>6</v>
      </c>
      <c r="Y73" s="297" t="s">
        <v>110</v>
      </c>
      <c r="Z73" s="297" t="s">
        <v>110</v>
      </c>
      <c r="AA73" s="297" t="s">
        <v>110</v>
      </c>
      <c r="AB73" s="297" t="s">
        <v>110</v>
      </c>
      <c r="AC73" s="297" t="s">
        <v>110</v>
      </c>
      <c r="AD73" s="297">
        <v>0.02</v>
      </c>
      <c r="AE73" s="297">
        <v>0.75</v>
      </c>
      <c r="AF73" s="415">
        <v>0.02</v>
      </c>
      <c r="AG73" s="415">
        <v>0.02</v>
      </c>
      <c r="AH73" s="415">
        <v>1.4999999999999999E-2</v>
      </c>
      <c r="AI73" s="415">
        <v>0.01</v>
      </c>
      <c r="AJ73" s="324"/>
      <c r="AK73" s="324"/>
      <c r="AL73" s="324"/>
      <c r="AT73" s="16"/>
      <c r="AU73" s="519"/>
      <c r="AV73" s="520"/>
      <c r="AW73" s="520"/>
      <c r="AX73" s="520"/>
      <c r="AY73" s="520"/>
      <c r="AZ73" s="521"/>
      <c r="BA73" s="520"/>
      <c r="BB73" s="521"/>
      <c r="BC73" s="520"/>
      <c r="BD73" s="521"/>
      <c r="BE73" s="520"/>
      <c r="BF73" s="522"/>
      <c r="BG73" s="522"/>
      <c r="BH73" s="522"/>
      <c r="BI73" s="522"/>
      <c r="BJ73" s="522"/>
      <c r="BK73" s="16"/>
      <c r="BL73" s="16"/>
      <c r="BM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8"/>
      <c r="DX73" s="19"/>
      <c r="EB73" s="20"/>
      <c r="EC73" s="27"/>
      <c r="ED73" s="100"/>
      <c r="EE73" s="77"/>
      <c r="EF73" s="77"/>
      <c r="EG73" s="44"/>
    </row>
    <row r="74" spans="1:137" ht="12.75" customHeight="1">
      <c r="A74" s="80"/>
      <c r="B74" s="349" t="str">
        <f t="shared" si="1"/>
        <v/>
      </c>
      <c r="C74" s="162" t="str">
        <f t="shared" si="6"/>
        <v/>
      </c>
      <c r="D74" s="452" t="str">
        <f t="shared" si="2"/>
        <v/>
      </c>
      <c r="E74" s="450" t="str">
        <f t="shared" si="7"/>
        <v/>
      </c>
      <c r="F74" s="463" t="str">
        <f t="shared" si="3"/>
        <v/>
      </c>
      <c r="G74" s="451" t="str">
        <f>IF($D27="","",IF($B74="","",$H74*$C74*12))</f>
        <v/>
      </c>
      <c r="H74" s="133" t="str">
        <f t="shared" si="5"/>
        <v/>
      </c>
      <c r="I74" s="90"/>
      <c r="J74" s="53"/>
      <c r="K74" s="281" t="s">
        <v>296</v>
      </c>
      <c r="L74" s="91"/>
      <c r="M74" s="149"/>
      <c r="N74" s="150"/>
      <c r="O74" s="128"/>
      <c r="P74" s="70"/>
      <c r="T74" s="325" t="s">
        <v>313</v>
      </c>
      <c r="U74" s="405" t="s">
        <v>446</v>
      </c>
      <c r="V74" s="361">
        <v>7</v>
      </c>
      <c r="W74" s="361">
        <v>2.5</v>
      </c>
      <c r="X74" s="361">
        <v>6</v>
      </c>
      <c r="Y74" s="298" t="s">
        <v>110</v>
      </c>
      <c r="Z74" s="298" t="s">
        <v>110</v>
      </c>
      <c r="AA74" s="298" t="s">
        <v>110</v>
      </c>
      <c r="AB74" s="298" t="s">
        <v>110</v>
      </c>
      <c r="AC74" s="298" t="s">
        <v>110</v>
      </c>
      <c r="AD74" s="298">
        <v>0.02</v>
      </c>
      <c r="AE74" s="298">
        <v>0.75</v>
      </c>
      <c r="AF74" s="415">
        <v>0.02</v>
      </c>
      <c r="AG74" s="415">
        <v>0.02</v>
      </c>
      <c r="AH74" s="415">
        <v>1.4999999999999999E-2</v>
      </c>
      <c r="AI74" s="415">
        <v>0.01</v>
      </c>
      <c r="AJ74" s="303"/>
      <c r="AK74" s="303"/>
      <c r="AL74" s="324"/>
      <c r="AT74" s="16"/>
      <c r="AU74" s="519"/>
      <c r="AV74" s="520"/>
      <c r="AW74" s="520"/>
      <c r="AX74" s="520"/>
      <c r="AY74" s="520"/>
      <c r="AZ74" s="521"/>
      <c r="BA74" s="520"/>
      <c r="BB74" s="521"/>
      <c r="BC74" s="520"/>
      <c r="BD74" s="521"/>
      <c r="BE74" s="520"/>
      <c r="BF74" s="522"/>
      <c r="BG74" s="522"/>
      <c r="BH74" s="524"/>
      <c r="BI74" s="524"/>
      <c r="BJ74" s="524"/>
      <c r="BK74" s="16"/>
      <c r="BL74" s="16"/>
      <c r="BM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8"/>
      <c r="DX74" s="19"/>
      <c r="EB74" s="20"/>
      <c r="EC74" s="27"/>
      <c r="ED74" s="100"/>
      <c r="EE74" s="77"/>
      <c r="EF74" s="77"/>
      <c r="EG74" s="44"/>
    </row>
    <row r="75" spans="1:137" ht="12.75" customHeight="1">
      <c r="A75" s="80"/>
      <c r="B75" s="349" t="str">
        <f t="shared" si="1"/>
        <v/>
      </c>
      <c r="C75" s="162" t="str">
        <f t="shared" si="6"/>
        <v/>
      </c>
      <c r="D75" s="453" t="str">
        <f t="shared" si="2"/>
        <v/>
      </c>
      <c r="E75" s="450" t="str">
        <f t="shared" si="7"/>
        <v/>
      </c>
      <c r="F75" s="463" t="str">
        <f t="shared" si="3"/>
        <v/>
      </c>
      <c r="G75" s="451" t="str">
        <f t="shared" si="4"/>
        <v/>
      </c>
      <c r="H75" s="133" t="str">
        <f t="shared" si="5"/>
        <v/>
      </c>
      <c r="I75" s="90"/>
      <c r="J75" s="53"/>
      <c r="K75" s="281" t="s">
        <v>297</v>
      </c>
      <c r="L75" s="91"/>
      <c r="M75" s="149"/>
      <c r="N75" s="150"/>
      <c r="O75" s="128"/>
      <c r="P75" s="70"/>
      <c r="T75" s="342" t="s">
        <v>314</v>
      </c>
      <c r="U75" s="405" t="s">
        <v>428</v>
      </c>
      <c r="V75" s="361">
        <v>6</v>
      </c>
      <c r="W75" s="361">
        <v>2.5</v>
      </c>
      <c r="X75" s="361">
        <v>5</v>
      </c>
      <c r="Y75" s="298" t="s">
        <v>110</v>
      </c>
      <c r="Z75" s="298" t="s">
        <v>110</v>
      </c>
      <c r="AA75" s="298" t="s">
        <v>112</v>
      </c>
      <c r="AB75" s="298" t="s">
        <v>112</v>
      </c>
      <c r="AC75" s="298" t="s">
        <v>112</v>
      </c>
      <c r="AD75" s="298">
        <v>0.02</v>
      </c>
      <c r="AE75" s="298">
        <v>0.75</v>
      </c>
      <c r="AF75" s="416">
        <v>0.02</v>
      </c>
      <c r="AG75" s="416">
        <v>0.02</v>
      </c>
      <c r="AH75" s="416">
        <v>1.4999999999999999E-2</v>
      </c>
      <c r="AI75" s="416">
        <v>0.01</v>
      </c>
      <c r="AJ75" s="324"/>
      <c r="AK75" s="324"/>
      <c r="AL75" s="324"/>
      <c r="AT75" s="16"/>
      <c r="AU75" s="519"/>
      <c r="AV75" s="520"/>
      <c r="AW75" s="520"/>
      <c r="AX75" s="520"/>
      <c r="AY75" s="520"/>
      <c r="AZ75" s="521"/>
      <c r="BA75" s="520"/>
      <c r="BB75" s="521"/>
      <c r="BC75" s="520"/>
      <c r="BD75" s="521"/>
      <c r="BE75" s="520"/>
      <c r="BF75" s="522"/>
      <c r="BG75" s="522"/>
      <c r="BH75" s="522"/>
      <c r="BI75" s="522"/>
      <c r="BJ75" s="522"/>
      <c r="BK75" s="16"/>
      <c r="BL75" s="16"/>
      <c r="BM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8"/>
      <c r="DX75" s="19"/>
      <c r="EB75" s="20"/>
      <c r="EC75" s="27"/>
      <c r="ED75" s="100"/>
      <c r="EE75" s="77"/>
      <c r="EF75" s="77"/>
      <c r="EG75" s="44"/>
    </row>
    <row r="76" spans="1:137" ht="12.75" customHeight="1">
      <c r="A76" s="80"/>
      <c r="B76" s="349" t="str">
        <f t="shared" si="1"/>
        <v/>
      </c>
      <c r="C76" s="162" t="str">
        <f t="shared" si="6"/>
        <v/>
      </c>
      <c r="D76" s="453" t="str">
        <f t="shared" si="2"/>
        <v/>
      </c>
      <c r="E76" s="450" t="str">
        <f t="shared" si="7"/>
        <v/>
      </c>
      <c r="F76" s="463" t="str">
        <f t="shared" si="3"/>
        <v/>
      </c>
      <c r="G76" s="451" t="str">
        <f t="shared" si="4"/>
        <v/>
      </c>
      <c r="H76" s="133" t="str">
        <f t="shared" si="5"/>
        <v/>
      </c>
      <c r="I76" s="90"/>
      <c r="J76" s="33"/>
      <c r="K76" s="281" t="s">
        <v>298</v>
      </c>
      <c r="L76" s="57"/>
      <c r="M76" s="77"/>
      <c r="N76" s="77"/>
      <c r="O76" s="77"/>
      <c r="P76" s="70"/>
      <c r="T76" s="342" t="s">
        <v>315</v>
      </c>
      <c r="U76" s="404" t="s">
        <v>129</v>
      </c>
      <c r="V76" s="359">
        <v>5.5</v>
      </c>
      <c r="W76" s="359">
        <v>3</v>
      </c>
      <c r="X76" s="359">
        <v>5</v>
      </c>
      <c r="Y76" s="297" t="s">
        <v>110</v>
      </c>
      <c r="Z76" s="297" t="s">
        <v>110</v>
      </c>
      <c r="AA76" s="297" t="s">
        <v>110</v>
      </c>
      <c r="AB76" s="297" t="s">
        <v>110</v>
      </c>
      <c r="AC76" s="297" t="s">
        <v>110</v>
      </c>
      <c r="AD76" s="297">
        <v>0.02</v>
      </c>
      <c r="AE76" s="297">
        <v>0.75</v>
      </c>
      <c r="AF76" s="415">
        <v>7.0000000000000001E-3</v>
      </c>
      <c r="AG76" s="415">
        <v>7.0000000000000001E-3</v>
      </c>
      <c r="AH76" s="415">
        <v>7.0000000000000001E-3</v>
      </c>
      <c r="AI76" s="415">
        <v>7.0000000000000001E-3</v>
      </c>
      <c r="AJ76" s="324"/>
      <c r="AK76" s="324"/>
      <c r="AL76" s="324"/>
      <c r="AT76" s="16"/>
      <c r="AU76" s="519"/>
      <c r="AV76" s="520"/>
      <c r="AW76" s="520"/>
      <c r="AX76" s="520"/>
      <c r="AY76" s="520"/>
      <c r="AZ76" s="521"/>
      <c r="BA76" s="520"/>
      <c r="BB76" s="521"/>
      <c r="BC76" s="520"/>
      <c r="BD76" s="521"/>
      <c r="BE76" s="520"/>
      <c r="BF76" s="522"/>
      <c r="BG76" s="522"/>
      <c r="BH76" s="522"/>
      <c r="BI76" s="522"/>
      <c r="BJ76" s="522"/>
      <c r="BK76" s="16"/>
      <c r="BL76" s="16"/>
      <c r="BM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8"/>
      <c r="DX76" s="19"/>
      <c r="EB76" s="20"/>
      <c r="EC76" s="27"/>
      <c r="ED76" s="100"/>
      <c r="EE76" s="77"/>
      <c r="EF76" s="77"/>
      <c r="EG76" s="44"/>
    </row>
    <row r="77" spans="1:137" ht="12.75" customHeight="1">
      <c r="A77" s="80"/>
      <c r="B77" s="349" t="str">
        <f t="shared" si="1"/>
        <v/>
      </c>
      <c r="C77" s="162" t="str">
        <f t="shared" si="6"/>
        <v/>
      </c>
      <c r="D77" s="453" t="str">
        <f t="shared" si="2"/>
        <v/>
      </c>
      <c r="E77" s="450" t="str">
        <f t="shared" si="7"/>
        <v/>
      </c>
      <c r="F77" s="463" t="str">
        <f t="shared" si="3"/>
        <v/>
      </c>
      <c r="G77" s="451" t="str">
        <f t="shared" si="4"/>
        <v/>
      </c>
      <c r="H77" s="133" t="str">
        <f t="shared" si="5"/>
        <v/>
      </c>
      <c r="I77" s="90"/>
      <c r="J77" s="33"/>
      <c r="K77" s="281" t="s">
        <v>299</v>
      </c>
      <c r="L77" s="57"/>
      <c r="M77" s="77"/>
      <c r="N77" s="77"/>
      <c r="O77" s="77"/>
      <c r="P77" s="70"/>
      <c r="T77" s="325" t="s">
        <v>316</v>
      </c>
      <c r="U77" s="404" t="s">
        <v>130</v>
      </c>
      <c r="V77" s="359">
        <v>4</v>
      </c>
      <c r="W77" s="359">
        <v>3</v>
      </c>
      <c r="X77" s="359">
        <v>3.5</v>
      </c>
      <c r="Y77" s="297" t="s">
        <v>110</v>
      </c>
      <c r="Z77" s="297" t="s">
        <v>110</v>
      </c>
      <c r="AA77" s="297" t="s">
        <v>112</v>
      </c>
      <c r="AB77" s="297" t="s">
        <v>112</v>
      </c>
      <c r="AC77" s="297" t="s">
        <v>112</v>
      </c>
      <c r="AD77" s="297">
        <v>0.02</v>
      </c>
      <c r="AE77" s="297">
        <v>0.75</v>
      </c>
      <c r="AF77" s="415">
        <v>7.0000000000000001E-3</v>
      </c>
      <c r="AG77" s="415">
        <v>7.0000000000000001E-3</v>
      </c>
      <c r="AH77" s="415">
        <v>7.0000000000000001E-3</v>
      </c>
      <c r="AI77" s="415">
        <v>7.0000000000000001E-3</v>
      </c>
      <c r="AJ77" s="324"/>
      <c r="AK77" s="324"/>
      <c r="AL77" s="324"/>
      <c r="AT77" s="16"/>
      <c r="AU77" s="525"/>
      <c r="AV77" s="518"/>
      <c r="AW77" s="518"/>
      <c r="AX77" s="518"/>
      <c r="AY77" s="518"/>
      <c r="AZ77" s="509"/>
      <c r="BA77" s="509"/>
      <c r="BB77" s="509"/>
      <c r="BC77" s="509"/>
      <c r="BD77" s="509"/>
      <c r="BE77" s="509"/>
      <c r="BF77" s="509"/>
      <c r="BG77" s="509"/>
      <c r="BH77" s="509"/>
      <c r="BI77" s="509"/>
      <c r="BJ77" s="509"/>
      <c r="BK77" s="16"/>
      <c r="BL77" s="16"/>
      <c r="BM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8"/>
      <c r="DX77" s="19"/>
      <c r="EB77" s="20"/>
      <c r="EC77" s="27"/>
      <c r="ED77" s="100"/>
      <c r="EE77" s="77"/>
      <c r="EF77" s="77"/>
      <c r="EG77" s="44"/>
    </row>
    <row r="78" spans="1:137" ht="12.75" customHeight="1">
      <c r="A78" s="80"/>
      <c r="B78" s="349" t="str">
        <f t="shared" si="1"/>
        <v/>
      </c>
      <c r="C78" s="162" t="str">
        <f t="shared" si="6"/>
        <v/>
      </c>
      <c r="D78" s="453" t="str">
        <f t="shared" si="2"/>
        <v/>
      </c>
      <c r="E78" s="450" t="str">
        <f t="shared" si="7"/>
        <v/>
      </c>
      <c r="F78" s="463" t="str">
        <f t="shared" si="3"/>
        <v/>
      </c>
      <c r="G78" s="451" t="str">
        <f t="shared" si="4"/>
        <v/>
      </c>
      <c r="H78" s="133" t="str">
        <f t="shared" si="5"/>
        <v/>
      </c>
      <c r="I78" s="90"/>
      <c r="J78" s="33"/>
      <c r="K78" s="281" t="s">
        <v>300</v>
      </c>
      <c r="L78" s="57"/>
      <c r="M78" s="77"/>
      <c r="N78" s="77"/>
      <c r="O78" s="77"/>
      <c r="P78" s="70"/>
      <c r="T78" s="325" t="s">
        <v>317</v>
      </c>
      <c r="U78" s="404" t="s">
        <v>431</v>
      </c>
      <c r="V78" s="359">
        <v>8</v>
      </c>
      <c r="W78" s="359">
        <v>2.5</v>
      </c>
      <c r="X78" s="359">
        <v>5</v>
      </c>
      <c r="Y78" s="297" t="s">
        <v>110</v>
      </c>
      <c r="Z78" s="297" t="s">
        <v>110</v>
      </c>
      <c r="AA78" s="297" t="s">
        <v>110</v>
      </c>
      <c r="AB78" s="297" t="s">
        <v>110</v>
      </c>
      <c r="AC78" s="297" t="s">
        <v>110</v>
      </c>
      <c r="AD78" s="297">
        <v>0.02</v>
      </c>
      <c r="AE78" s="297">
        <v>0.75</v>
      </c>
      <c r="AF78" s="415">
        <v>0.02</v>
      </c>
      <c r="AG78" s="415">
        <v>0.02</v>
      </c>
      <c r="AH78" s="415">
        <v>1.4999999999999999E-2</v>
      </c>
      <c r="AI78" s="415">
        <v>0.01</v>
      </c>
      <c r="AJ78" s="324"/>
      <c r="AK78" s="324"/>
      <c r="AL78" s="324"/>
      <c r="AT78" s="16"/>
      <c r="AU78" s="519"/>
      <c r="AV78" s="520"/>
      <c r="AW78" s="520"/>
      <c r="AX78" s="520"/>
      <c r="AY78" s="520"/>
      <c r="AZ78" s="521"/>
      <c r="BA78" s="520"/>
      <c r="BB78" s="521"/>
      <c r="BC78" s="520"/>
      <c r="BD78" s="521"/>
      <c r="BE78" s="520"/>
      <c r="BF78" s="522"/>
      <c r="BG78" s="522"/>
      <c r="BH78" s="523"/>
      <c r="BI78" s="524"/>
      <c r="BJ78" s="524"/>
      <c r="BK78" s="16"/>
      <c r="BL78" s="16"/>
      <c r="BM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8"/>
      <c r="DX78" s="19"/>
      <c r="EB78" s="20"/>
      <c r="EC78" s="27"/>
      <c r="ED78" s="100"/>
      <c r="EE78" s="77"/>
      <c r="EF78" s="77"/>
      <c r="EG78" s="44"/>
    </row>
    <row r="79" spans="1:137" ht="12.75" customHeight="1">
      <c r="A79" s="80"/>
      <c r="B79" s="349" t="str">
        <f t="shared" si="1"/>
        <v/>
      </c>
      <c r="C79" s="162" t="str">
        <f t="shared" si="6"/>
        <v/>
      </c>
      <c r="D79" s="453" t="str">
        <f t="shared" si="2"/>
        <v/>
      </c>
      <c r="E79" s="450" t="str">
        <f t="shared" si="7"/>
        <v/>
      </c>
      <c r="F79" s="463" t="str">
        <f t="shared" si="3"/>
        <v/>
      </c>
      <c r="G79" s="451" t="str">
        <f t="shared" si="4"/>
        <v/>
      </c>
      <c r="H79" s="133" t="str">
        <f t="shared" si="5"/>
        <v/>
      </c>
      <c r="I79" s="90"/>
      <c r="J79" s="33"/>
      <c r="K79" s="281" t="s">
        <v>301</v>
      </c>
      <c r="L79" s="57"/>
      <c r="M79" s="77"/>
      <c r="N79" s="77"/>
      <c r="O79" s="77"/>
      <c r="P79" s="70"/>
      <c r="T79" s="326" t="s">
        <v>318</v>
      </c>
      <c r="U79" s="407" t="s">
        <v>447</v>
      </c>
      <c r="V79" s="367">
        <v>8</v>
      </c>
      <c r="W79" s="367">
        <v>2.5</v>
      </c>
      <c r="X79" s="367">
        <v>6.5</v>
      </c>
      <c r="Y79" s="322" t="s">
        <v>110</v>
      </c>
      <c r="Z79" s="322" t="s">
        <v>110</v>
      </c>
      <c r="AA79" s="322" t="s">
        <v>110</v>
      </c>
      <c r="AB79" s="322" t="s">
        <v>110</v>
      </c>
      <c r="AC79" s="322" t="s">
        <v>110</v>
      </c>
      <c r="AD79" s="322">
        <v>0.02</v>
      </c>
      <c r="AE79" s="322">
        <v>0.75</v>
      </c>
      <c r="AF79" s="417">
        <v>0.02</v>
      </c>
      <c r="AG79" s="417">
        <v>0.02</v>
      </c>
      <c r="AH79" s="417">
        <v>1.4999999999999999E-2</v>
      </c>
      <c r="AI79" s="417">
        <v>0.01</v>
      </c>
      <c r="AJ79" s="324"/>
      <c r="AK79" s="324"/>
      <c r="AL79" s="324"/>
      <c r="AT79" s="16"/>
      <c r="AU79" s="519"/>
      <c r="AV79" s="520"/>
      <c r="AW79" s="520"/>
      <c r="AX79" s="520"/>
      <c r="AY79" s="520"/>
      <c r="AZ79" s="521"/>
      <c r="BA79" s="520"/>
      <c r="BB79" s="521"/>
      <c r="BC79" s="520"/>
      <c r="BD79" s="521"/>
      <c r="BE79" s="520"/>
      <c r="BF79" s="522"/>
      <c r="BG79" s="522"/>
      <c r="BH79" s="523"/>
      <c r="BI79" s="523"/>
      <c r="BJ79" s="523"/>
      <c r="BK79" s="16"/>
      <c r="BL79" s="16"/>
      <c r="BM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8"/>
      <c r="DX79" s="19"/>
      <c r="EB79" s="20"/>
      <c r="EC79" s="27"/>
      <c r="ED79" s="100"/>
      <c r="EE79" s="77"/>
      <c r="EF79" s="77"/>
      <c r="EG79" s="44"/>
    </row>
    <row r="80" spans="1:137" ht="12.75" customHeight="1">
      <c r="A80" s="80"/>
      <c r="B80" s="349" t="str">
        <f t="shared" si="1"/>
        <v/>
      </c>
      <c r="C80" s="162" t="str">
        <f t="shared" si="6"/>
        <v/>
      </c>
      <c r="D80" s="453" t="str">
        <f t="shared" si="2"/>
        <v/>
      </c>
      <c r="E80" s="450" t="str">
        <f t="shared" si="7"/>
        <v/>
      </c>
      <c r="F80" s="463" t="str">
        <f t="shared" si="3"/>
        <v/>
      </c>
      <c r="G80" s="451" t="str">
        <f t="shared" si="4"/>
        <v/>
      </c>
      <c r="H80" s="133" t="str">
        <f t="shared" si="5"/>
        <v/>
      </c>
      <c r="I80" s="90"/>
      <c r="J80" s="33"/>
      <c r="K80" s="281" t="s">
        <v>302</v>
      </c>
      <c r="L80" s="57"/>
      <c r="M80" s="77"/>
      <c r="N80" s="77"/>
      <c r="O80" s="77"/>
      <c r="P80" s="70"/>
      <c r="T80" s="343" t="s">
        <v>322</v>
      </c>
      <c r="U80" s="366"/>
      <c r="V80" s="366"/>
      <c r="W80" s="366"/>
      <c r="X80" s="366"/>
      <c r="Y80" s="366"/>
      <c r="Z80" s="366"/>
      <c r="AA80" s="366"/>
      <c r="AB80" s="366"/>
      <c r="AC80" s="344"/>
      <c r="AD80" s="470"/>
      <c r="AE80" s="344"/>
      <c r="AF80" s="343"/>
      <c r="AG80" s="323"/>
      <c r="AH80" s="323"/>
      <c r="AI80" s="344"/>
      <c r="AJ80" s="324"/>
      <c r="AK80" s="324"/>
      <c r="AL80" s="324"/>
      <c r="AT80" s="16"/>
      <c r="AU80" s="519"/>
      <c r="AV80" s="520"/>
      <c r="AW80" s="520"/>
      <c r="AX80" s="520"/>
      <c r="AY80" s="520"/>
      <c r="AZ80" s="521"/>
      <c r="BA80" s="520"/>
      <c r="BB80" s="521"/>
      <c r="BC80" s="520"/>
      <c r="BD80" s="521"/>
      <c r="BE80" s="520"/>
      <c r="BF80" s="522"/>
      <c r="BG80" s="523"/>
      <c r="BH80" s="524"/>
      <c r="BI80" s="524"/>
      <c r="BJ80" s="524"/>
      <c r="BK80" s="16"/>
      <c r="BL80" s="16"/>
      <c r="BM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8"/>
      <c r="DX80" s="19"/>
      <c r="EB80" s="20"/>
      <c r="EC80" s="27"/>
      <c r="ED80" s="100"/>
      <c r="EE80" s="77"/>
      <c r="EF80" s="77"/>
      <c r="EG80" s="44"/>
    </row>
    <row r="81" spans="1:137" ht="12.75" customHeight="1">
      <c r="A81" s="80"/>
      <c r="B81" s="350" t="str">
        <f t="shared" si="1"/>
        <v/>
      </c>
      <c r="C81" s="59" t="str">
        <f t="shared" si="6"/>
        <v/>
      </c>
      <c r="D81" s="452" t="str">
        <f t="shared" si="2"/>
        <v/>
      </c>
      <c r="E81" s="450" t="str">
        <f t="shared" si="7"/>
        <v/>
      </c>
      <c r="F81" s="463" t="str">
        <f t="shared" si="3"/>
        <v/>
      </c>
      <c r="G81" s="451" t="str">
        <f t="shared" si="4"/>
        <v/>
      </c>
      <c r="H81" s="133" t="str">
        <f t="shared" si="5"/>
        <v/>
      </c>
      <c r="I81" s="90"/>
      <c r="J81" s="33"/>
      <c r="K81" s="281" t="s">
        <v>303</v>
      </c>
      <c r="L81" s="57"/>
      <c r="M81" s="77"/>
      <c r="N81" s="77"/>
      <c r="O81" s="77"/>
      <c r="P81" s="70"/>
      <c r="T81" s="357" t="s">
        <v>323</v>
      </c>
      <c r="U81" s="403" t="s">
        <v>421</v>
      </c>
      <c r="V81" s="358">
        <v>6</v>
      </c>
      <c r="W81" s="358">
        <v>2.5</v>
      </c>
      <c r="X81" s="358">
        <v>5</v>
      </c>
      <c r="Y81" s="296" t="s">
        <v>110</v>
      </c>
      <c r="Z81" s="296" t="s">
        <v>110</v>
      </c>
      <c r="AA81" s="296">
        <v>35</v>
      </c>
      <c r="AB81" s="296" t="s">
        <v>112</v>
      </c>
      <c r="AC81" s="296" t="s">
        <v>112</v>
      </c>
      <c r="AD81" s="299">
        <v>0.02</v>
      </c>
      <c r="AE81" s="299">
        <v>0.75</v>
      </c>
      <c r="AF81" s="419">
        <v>0.02</v>
      </c>
      <c r="AG81" s="419">
        <v>0.02</v>
      </c>
      <c r="AH81" s="419">
        <v>1.4999999999999999E-2</v>
      </c>
      <c r="AI81" s="414">
        <v>0.01</v>
      </c>
      <c r="AJ81" s="324"/>
      <c r="AK81" s="324"/>
      <c r="AL81" s="303"/>
      <c r="AT81" s="16"/>
      <c r="AU81" s="519"/>
      <c r="AV81" s="520"/>
      <c r="AW81" s="520"/>
      <c r="AX81" s="520"/>
      <c r="AY81" s="520"/>
      <c r="AZ81" s="521"/>
      <c r="BA81" s="520"/>
      <c r="BB81" s="521"/>
      <c r="BC81" s="520"/>
      <c r="BD81" s="521"/>
      <c r="BE81" s="520"/>
      <c r="BF81" s="522"/>
      <c r="BG81" s="522"/>
      <c r="BH81" s="524"/>
      <c r="BI81" s="524"/>
      <c r="BJ81" s="524"/>
      <c r="BK81" s="16"/>
      <c r="BL81" s="16"/>
      <c r="BM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8"/>
      <c r="DX81" s="19"/>
      <c r="EB81" s="20"/>
      <c r="EC81" s="27"/>
      <c r="ED81" s="100"/>
      <c r="EE81" s="77"/>
      <c r="EF81" s="77"/>
      <c r="EG81" s="44"/>
    </row>
    <row r="82" spans="1:137" ht="12.75" customHeight="1">
      <c r="A82" s="80"/>
      <c r="B82" s="350" t="str">
        <f t="shared" si="1"/>
        <v/>
      </c>
      <c r="C82" s="59" t="str">
        <f t="shared" si="6"/>
        <v/>
      </c>
      <c r="D82" s="452" t="str">
        <f t="shared" si="2"/>
        <v/>
      </c>
      <c r="E82" s="450" t="str">
        <f t="shared" si="7"/>
        <v/>
      </c>
      <c r="F82" s="463" t="str">
        <f t="shared" si="3"/>
        <v/>
      </c>
      <c r="G82" s="451" t="str">
        <f t="shared" si="4"/>
        <v/>
      </c>
      <c r="H82" s="133" t="str">
        <f t="shared" si="5"/>
        <v/>
      </c>
      <c r="I82" s="90"/>
      <c r="J82" s="33"/>
      <c r="K82" s="281" t="s">
        <v>304</v>
      </c>
      <c r="L82" s="57"/>
      <c r="M82" s="77"/>
      <c r="N82" s="77"/>
      <c r="O82" s="77"/>
      <c r="P82" s="70"/>
      <c r="T82" s="325" t="s">
        <v>324</v>
      </c>
      <c r="U82" s="404" t="s">
        <v>125</v>
      </c>
      <c r="V82" s="359">
        <v>6.5</v>
      </c>
      <c r="W82" s="359">
        <v>2.5</v>
      </c>
      <c r="X82" s="359">
        <v>5</v>
      </c>
      <c r="Y82" s="297" t="s">
        <v>110</v>
      </c>
      <c r="Z82" s="297" t="s">
        <v>110</v>
      </c>
      <c r="AA82" s="297">
        <v>160</v>
      </c>
      <c r="AB82" s="297">
        <v>100</v>
      </c>
      <c r="AC82" s="297">
        <v>100</v>
      </c>
      <c r="AD82" s="297">
        <v>0.02</v>
      </c>
      <c r="AE82" s="297">
        <v>0.75</v>
      </c>
      <c r="AF82" s="415">
        <v>0.02</v>
      </c>
      <c r="AG82" s="415">
        <v>0.02</v>
      </c>
      <c r="AH82" s="415">
        <v>1.4999999999999999E-2</v>
      </c>
      <c r="AI82" s="415">
        <v>0.01</v>
      </c>
      <c r="AJ82" s="324"/>
      <c r="AK82" s="324"/>
      <c r="AL82" s="324"/>
      <c r="AT82" s="16"/>
      <c r="AU82" s="519"/>
      <c r="AV82" s="520"/>
      <c r="AW82" s="520"/>
      <c r="AX82" s="520"/>
      <c r="AY82" s="520"/>
      <c r="AZ82" s="521"/>
      <c r="BA82" s="520"/>
      <c r="BB82" s="521"/>
      <c r="BC82" s="520"/>
      <c r="BD82" s="521"/>
      <c r="BE82" s="520"/>
      <c r="BF82" s="522"/>
      <c r="BG82" s="522"/>
      <c r="BH82" s="523"/>
      <c r="BI82" s="523"/>
      <c r="BJ82" s="524"/>
      <c r="BK82" s="16"/>
      <c r="BL82" s="16"/>
      <c r="BM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8"/>
      <c r="DX82" s="19"/>
      <c r="EB82" s="20"/>
      <c r="EC82" s="27"/>
      <c r="ED82" s="100"/>
      <c r="EE82" s="77"/>
      <c r="EF82" s="77"/>
      <c r="EG82" s="44"/>
    </row>
    <row r="83" spans="1:137" ht="12.75" customHeight="1">
      <c r="A83" s="80"/>
      <c r="B83" s="350" t="str">
        <f t="shared" si="1"/>
        <v/>
      </c>
      <c r="C83" s="59" t="str">
        <f t="shared" si="6"/>
        <v/>
      </c>
      <c r="D83" s="452" t="str">
        <f t="shared" si="2"/>
        <v/>
      </c>
      <c r="E83" s="450" t="str">
        <f t="shared" si="7"/>
        <v/>
      </c>
      <c r="F83" s="463" t="str">
        <f t="shared" si="3"/>
        <v/>
      </c>
      <c r="G83" s="451" t="str">
        <f t="shared" si="4"/>
        <v/>
      </c>
      <c r="H83" s="133" t="str">
        <f t="shared" si="5"/>
        <v/>
      </c>
      <c r="I83" s="90"/>
      <c r="J83" s="33"/>
      <c r="K83" s="281" t="s">
        <v>305</v>
      </c>
      <c r="L83" s="57"/>
      <c r="M83" s="77"/>
      <c r="N83" s="77"/>
      <c r="O83" s="77"/>
      <c r="P83" s="70"/>
      <c r="T83" s="325" t="s">
        <v>325</v>
      </c>
      <c r="U83" s="404" t="s">
        <v>131</v>
      </c>
      <c r="V83" s="359">
        <v>3</v>
      </c>
      <c r="W83" s="359">
        <v>3</v>
      </c>
      <c r="X83" s="359">
        <v>2.5</v>
      </c>
      <c r="Y83" s="297" t="s">
        <v>110</v>
      </c>
      <c r="Z83" s="297">
        <v>160</v>
      </c>
      <c r="AA83" s="297" t="s">
        <v>112</v>
      </c>
      <c r="AB83" s="297" t="s">
        <v>112</v>
      </c>
      <c r="AC83" s="297" t="s">
        <v>112</v>
      </c>
      <c r="AD83" s="297">
        <v>0.02</v>
      </c>
      <c r="AE83" s="297">
        <v>0.75</v>
      </c>
      <c r="AF83" s="415">
        <v>7.0000000000000001E-3</v>
      </c>
      <c r="AG83" s="415">
        <v>7.0000000000000001E-3</v>
      </c>
      <c r="AH83" s="415">
        <v>7.0000000000000001E-3</v>
      </c>
      <c r="AI83" s="415">
        <v>7.0000000000000001E-3</v>
      </c>
      <c r="AJ83" s="324"/>
      <c r="AK83" s="324"/>
      <c r="AL83" s="324"/>
      <c r="AT83" s="16"/>
      <c r="AU83" s="519"/>
      <c r="AV83" s="520"/>
      <c r="AW83" s="520"/>
      <c r="AX83" s="520"/>
      <c r="AY83" s="520"/>
      <c r="AZ83" s="521"/>
      <c r="BA83" s="520"/>
      <c r="BB83" s="521"/>
      <c r="BC83" s="520"/>
      <c r="BD83" s="521"/>
      <c r="BE83" s="520"/>
      <c r="BF83" s="522"/>
      <c r="BG83" s="522"/>
      <c r="BH83" s="524"/>
      <c r="BI83" s="524"/>
      <c r="BJ83" s="524"/>
      <c r="BK83" s="16"/>
      <c r="BL83" s="16"/>
      <c r="BM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8"/>
      <c r="DX83" s="19"/>
      <c r="EB83" s="20"/>
      <c r="EC83" s="27"/>
      <c r="ED83" s="100"/>
      <c r="EE83" s="77"/>
      <c r="EF83" s="77"/>
      <c r="EG83" s="44"/>
    </row>
    <row r="84" spans="1:137" ht="12.75" customHeight="1">
      <c r="A84" s="80"/>
      <c r="B84" s="350" t="str">
        <f t="shared" si="1"/>
        <v/>
      </c>
      <c r="C84" s="59" t="str">
        <f t="shared" si="6"/>
        <v/>
      </c>
      <c r="D84" s="452" t="str">
        <f t="shared" si="2"/>
        <v/>
      </c>
      <c r="E84" s="450" t="str">
        <f t="shared" si="7"/>
        <v/>
      </c>
      <c r="F84" s="463" t="str">
        <f t="shared" si="3"/>
        <v/>
      </c>
      <c r="G84" s="451" t="str">
        <f t="shared" si="4"/>
        <v/>
      </c>
      <c r="H84" s="133" t="str">
        <f t="shared" si="5"/>
        <v/>
      </c>
      <c r="I84" s="90"/>
      <c r="J84" s="33"/>
      <c r="K84" s="281" t="s">
        <v>306</v>
      </c>
      <c r="L84" s="57"/>
      <c r="M84" s="77"/>
      <c r="N84" s="77"/>
      <c r="O84" s="77"/>
      <c r="P84" s="70"/>
      <c r="T84" s="325" t="s">
        <v>326</v>
      </c>
      <c r="U84" s="404" t="s">
        <v>331</v>
      </c>
      <c r="V84" s="359">
        <v>3.5</v>
      </c>
      <c r="W84" s="359">
        <v>3</v>
      </c>
      <c r="X84" s="359">
        <v>3</v>
      </c>
      <c r="Y84" s="297" t="s">
        <v>110</v>
      </c>
      <c r="Z84" s="297" t="s">
        <v>110</v>
      </c>
      <c r="AA84" s="297" t="s">
        <v>112</v>
      </c>
      <c r="AB84" s="297" t="s">
        <v>112</v>
      </c>
      <c r="AC84" s="297" t="s">
        <v>112</v>
      </c>
      <c r="AD84" s="297">
        <v>0.02</v>
      </c>
      <c r="AE84" s="297">
        <v>0.75</v>
      </c>
      <c r="AF84" s="415">
        <v>7.0000000000000001E-3</v>
      </c>
      <c r="AG84" s="415">
        <v>7.0000000000000001E-3</v>
      </c>
      <c r="AH84" s="415">
        <v>7.0000000000000001E-3</v>
      </c>
      <c r="AI84" s="415">
        <v>7.0000000000000001E-3</v>
      </c>
      <c r="AJ84" s="324"/>
      <c r="AK84" s="324"/>
      <c r="AL84" s="324"/>
      <c r="AT84" s="16"/>
      <c r="AU84" s="519"/>
      <c r="AV84" s="520"/>
      <c r="AW84" s="520"/>
      <c r="AX84" s="520"/>
      <c r="AY84" s="520"/>
      <c r="AZ84" s="521"/>
      <c r="BA84" s="520"/>
      <c r="BB84" s="521"/>
      <c r="BC84" s="520"/>
      <c r="BD84" s="521"/>
      <c r="BE84" s="520"/>
      <c r="BF84" s="522"/>
      <c r="BG84" s="522"/>
      <c r="BH84" s="524"/>
      <c r="BI84" s="524"/>
      <c r="BJ84" s="524"/>
      <c r="BK84" s="16"/>
      <c r="BL84" s="16"/>
      <c r="BM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8"/>
      <c r="DX84" s="19"/>
      <c r="EB84" s="20"/>
      <c r="EC84" s="27"/>
      <c r="ED84" s="100"/>
      <c r="EE84" s="77"/>
      <c r="EF84" s="77"/>
      <c r="EG84" s="44"/>
    </row>
    <row r="85" spans="1:137" ht="12.75" customHeight="1">
      <c r="A85" s="80"/>
      <c r="B85" s="351" t="str">
        <f t="shared" si="1"/>
        <v/>
      </c>
      <c r="C85" s="74" t="str">
        <f t="shared" si="6"/>
        <v/>
      </c>
      <c r="D85" s="454" t="str">
        <f t="shared" si="2"/>
        <v/>
      </c>
      <c r="E85" s="455" t="str">
        <f t="shared" si="7"/>
        <v/>
      </c>
      <c r="F85" s="468" t="str">
        <f t="shared" si="3"/>
        <v/>
      </c>
      <c r="G85" s="476" t="str">
        <f t="shared" si="4"/>
        <v/>
      </c>
      <c r="H85" s="109" t="str">
        <f t="shared" si="5"/>
        <v/>
      </c>
      <c r="I85" s="90"/>
      <c r="J85" s="169"/>
      <c r="K85" s="281" t="s">
        <v>307</v>
      </c>
      <c r="L85" s="169"/>
      <c r="M85" s="169"/>
      <c r="N85" s="77"/>
      <c r="O85" s="77"/>
      <c r="P85" s="70"/>
      <c r="T85" s="325" t="s">
        <v>327</v>
      </c>
      <c r="U85" s="404" t="s">
        <v>425</v>
      </c>
      <c r="V85" s="359">
        <v>5.5</v>
      </c>
      <c r="W85" s="359">
        <v>2.5</v>
      </c>
      <c r="X85" s="359">
        <v>4.5</v>
      </c>
      <c r="Y85" s="297" t="s">
        <v>110</v>
      </c>
      <c r="Z85" s="297" t="s">
        <v>110</v>
      </c>
      <c r="AA85" s="297">
        <v>160</v>
      </c>
      <c r="AB85" s="297">
        <v>100</v>
      </c>
      <c r="AC85" s="297" t="s">
        <v>112</v>
      </c>
      <c r="AD85" s="297">
        <v>0.02</v>
      </c>
      <c r="AE85" s="297">
        <v>0.75</v>
      </c>
      <c r="AF85" s="415">
        <v>0.02</v>
      </c>
      <c r="AG85" s="415">
        <v>0.02</v>
      </c>
      <c r="AH85" s="415">
        <v>1.4999999999999999E-2</v>
      </c>
      <c r="AI85" s="415">
        <v>0.01</v>
      </c>
      <c r="AJ85" s="324"/>
      <c r="AK85" s="324"/>
      <c r="AL85" s="324"/>
      <c r="AT85" s="16"/>
      <c r="AU85" s="519"/>
      <c r="AV85" s="520"/>
      <c r="AW85" s="520"/>
      <c r="AX85" s="520"/>
      <c r="AY85" s="520"/>
      <c r="AZ85" s="521"/>
      <c r="BA85" s="520"/>
      <c r="BB85" s="521"/>
      <c r="BC85" s="520"/>
      <c r="BD85" s="521"/>
      <c r="BE85" s="520"/>
      <c r="BF85" s="522"/>
      <c r="BG85" s="522"/>
      <c r="BH85" s="524"/>
      <c r="BI85" s="524"/>
      <c r="BJ85" s="524"/>
      <c r="BK85" s="16"/>
      <c r="BL85" s="16"/>
      <c r="BM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8"/>
      <c r="DX85" s="19"/>
      <c r="EB85" s="20"/>
      <c r="EC85" s="27"/>
      <c r="ED85" s="100"/>
      <c r="EE85" s="77"/>
      <c r="EF85" s="77"/>
      <c r="EG85" s="44"/>
    </row>
    <row r="86" spans="1:137" ht="12.75" customHeight="1">
      <c r="A86" s="487"/>
      <c r="B86" s="177"/>
      <c r="C86" s="177"/>
      <c r="D86" s="177"/>
      <c r="E86" s="177"/>
      <c r="F86" s="177"/>
      <c r="G86" s="432"/>
      <c r="H86" s="432"/>
      <c r="I86" s="134"/>
      <c r="J86" s="169"/>
      <c r="K86" s="281" t="s">
        <v>308</v>
      </c>
      <c r="L86" s="169"/>
      <c r="M86" s="169"/>
      <c r="N86" s="77"/>
      <c r="O86" s="77"/>
      <c r="P86" s="70"/>
      <c r="T86" s="325" t="s">
        <v>328</v>
      </c>
      <c r="U86" s="404" t="s">
        <v>448</v>
      </c>
      <c r="V86" s="359">
        <v>3.5</v>
      </c>
      <c r="W86" s="359">
        <v>2.5</v>
      </c>
      <c r="X86" s="359">
        <v>3</v>
      </c>
      <c r="Y86" s="297" t="s">
        <v>110</v>
      </c>
      <c r="Z86" s="297" t="s">
        <v>110</v>
      </c>
      <c r="AA86" s="297" t="s">
        <v>112</v>
      </c>
      <c r="AB86" s="297" t="s">
        <v>112</v>
      </c>
      <c r="AC86" s="297" t="s">
        <v>112</v>
      </c>
      <c r="AD86" s="297">
        <v>0.02</v>
      </c>
      <c r="AE86" s="297">
        <v>0.75</v>
      </c>
      <c r="AF86" s="415">
        <v>0.02</v>
      </c>
      <c r="AG86" s="415">
        <v>0.02</v>
      </c>
      <c r="AH86" s="415">
        <v>1.4999999999999999E-2</v>
      </c>
      <c r="AI86" s="415">
        <v>0.01</v>
      </c>
      <c r="AJ86" s="324"/>
      <c r="AK86" s="324"/>
      <c r="AL86" s="324"/>
      <c r="AT86" s="16"/>
      <c r="AU86" s="525"/>
      <c r="AV86" s="518"/>
      <c r="AW86" s="518"/>
      <c r="AX86" s="518"/>
      <c r="AY86" s="518"/>
      <c r="AZ86" s="509"/>
      <c r="BA86" s="509"/>
      <c r="BB86" s="509"/>
      <c r="BC86" s="509"/>
      <c r="BD86" s="509"/>
      <c r="BE86" s="509"/>
      <c r="BF86" s="509"/>
      <c r="BG86" s="509"/>
      <c r="BH86" s="509"/>
      <c r="BI86" s="509"/>
      <c r="BJ86" s="509"/>
      <c r="BK86" s="16"/>
      <c r="BL86" s="16"/>
      <c r="BM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8"/>
      <c r="DX86" s="19"/>
      <c r="EB86" s="20"/>
      <c r="EC86" s="27"/>
      <c r="ED86" s="100"/>
      <c r="EE86" s="77"/>
      <c r="EF86" s="77"/>
      <c r="EG86" s="44"/>
    </row>
    <row r="87" spans="1:137" ht="12.75" customHeight="1">
      <c r="A87" s="487"/>
      <c r="B87" s="177"/>
      <c r="C87" s="177"/>
      <c r="D87" s="177"/>
      <c r="E87" s="177"/>
      <c r="F87" s="177"/>
      <c r="G87" s="432"/>
      <c r="H87" s="432"/>
      <c r="I87" s="134"/>
      <c r="J87" s="170"/>
      <c r="K87" s="281" t="s">
        <v>309</v>
      </c>
      <c r="L87" s="171"/>
      <c r="M87" s="172"/>
      <c r="N87" s="77"/>
      <c r="O87" s="77"/>
      <c r="P87" s="70"/>
      <c r="T87" s="325" t="s">
        <v>329</v>
      </c>
      <c r="U87" s="404" t="s">
        <v>424</v>
      </c>
      <c r="V87" s="359">
        <v>5</v>
      </c>
      <c r="W87" s="359">
        <v>3</v>
      </c>
      <c r="X87" s="359">
        <v>4.5</v>
      </c>
      <c r="Y87" s="297" t="s">
        <v>110</v>
      </c>
      <c r="Z87" s="297" t="s">
        <v>110</v>
      </c>
      <c r="AA87" s="297" t="s">
        <v>112</v>
      </c>
      <c r="AB87" s="297" t="s">
        <v>112</v>
      </c>
      <c r="AC87" s="297" t="s">
        <v>112</v>
      </c>
      <c r="AD87" s="297">
        <v>0.02</v>
      </c>
      <c r="AE87" s="297">
        <v>0.75</v>
      </c>
      <c r="AF87" s="415">
        <v>0.02</v>
      </c>
      <c r="AG87" s="415">
        <v>0.02</v>
      </c>
      <c r="AH87" s="415">
        <v>1.4999999999999999E-2</v>
      </c>
      <c r="AI87" s="415">
        <v>0.01</v>
      </c>
      <c r="AJ87" s="324"/>
      <c r="AK87" s="324"/>
      <c r="AL87" s="324"/>
      <c r="AT87" s="16"/>
      <c r="AU87" s="519"/>
      <c r="AV87" s="520"/>
      <c r="AW87" s="520"/>
      <c r="AX87" s="520"/>
      <c r="AY87" s="520"/>
      <c r="AZ87" s="521"/>
      <c r="BA87" s="520"/>
      <c r="BB87" s="521"/>
      <c r="BC87" s="520"/>
      <c r="BD87" s="521"/>
      <c r="BE87" s="520"/>
      <c r="BF87" s="522"/>
      <c r="BG87" s="524"/>
      <c r="BH87" s="524"/>
      <c r="BI87" s="524"/>
      <c r="BJ87" s="524"/>
      <c r="BK87" s="16"/>
      <c r="BL87" s="16"/>
      <c r="BM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8"/>
      <c r="DX87" s="19"/>
      <c r="EB87" s="20"/>
      <c r="EC87" s="27"/>
      <c r="ED87" s="100"/>
      <c r="EE87" s="77"/>
      <c r="EF87" s="77"/>
      <c r="EG87" s="44"/>
    </row>
    <row r="88" spans="1:137" ht="12.75" customHeight="1">
      <c r="A88" s="54" t="s">
        <v>104</v>
      </c>
      <c r="B88" s="252"/>
      <c r="C88" s="252"/>
      <c r="D88" s="252"/>
      <c r="E88" s="252"/>
      <c r="F88" s="252"/>
      <c r="G88" s="252"/>
      <c r="H88" s="252"/>
      <c r="I88" s="257"/>
      <c r="J88" s="173"/>
      <c r="K88" s="281" t="s">
        <v>310</v>
      </c>
      <c r="L88" s="173"/>
      <c r="M88" s="169"/>
      <c r="N88" s="33"/>
      <c r="O88" s="33"/>
      <c r="P88" s="70"/>
      <c r="T88" s="325" t="s">
        <v>330</v>
      </c>
      <c r="U88" s="404" t="s">
        <v>126</v>
      </c>
      <c r="V88" s="359">
        <v>5.5</v>
      </c>
      <c r="W88" s="359">
        <v>2.5</v>
      </c>
      <c r="X88" s="359">
        <v>4.5</v>
      </c>
      <c r="Y88" s="297" t="s">
        <v>110</v>
      </c>
      <c r="Z88" s="297" t="s">
        <v>110</v>
      </c>
      <c r="AA88" s="297" t="s">
        <v>112</v>
      </c>
      <c r="AB88" s="297" t="s">
        <v>112</v>
      </c>
      <c r="AC88" s="297" t="s">
        <v>112</v>
      </c>
      <c r="AD88" s="297">
        <v>0.02</v>
      </c>
      <c r="AE88" s="297">
        <v>0.75</v>
      </c>
      <c r="AF88" s="415">
        <v>0.02</v>
      </c>
      <c r="AG88" s="415">
        <v>0.02</v>
      </c>
      <c r="AH88" s="415">
        <v>1.4999999999999999E-2</v>
      </c>
      <c r="AI88" s="415">
        <v>0.01</v>
      </c>
      <c r="AJ88" s="324"/>
      <c r="AK88" s="324"/>
      <c r="AL88" s="324"/>
      <c r="AT88" s="16"/>
      <c r="AU88" s="525"/>
      <c r="AV88" s="518"/>
      <c r="AW88" s="518"/>
      <c r="AX88" s="518"/>
      <c r="AY88" s="518"/>
      <c r="AZ88" s="509"/>
      <c r="BA88" s="509"/>
      <c r="BB88" s="509"/>
      <c r="BC88" s="509"/>
      <c r="BD88" s="509"/>
      <c r="BE88" s="509"/>
      <c r="BF88" s="509"/>
      <c r="BG88" s="509"/>
      <c r="BH88" s="509"/>
      <c r="BI88" s="509"/>
      <c r="BJ88" s="509"/>
      <c r="BK88" s="16"/>
      <c r="BL88" s="16"/>
      <c r="BM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8"/>
      <c r="DX88" s="19"/>
      <c r="EB88" s="20"/>
      <c r="EC88" s="27"/>
      <c r="ED88" s="100"/>
      <c r="EE88" s="77"/>
      <c r="EF88" s="77"/>
      <c r="EG88" s="44"/>
    </row>
    <row r="89" spans="1:137" ht="12.75" customHeight="1">
      <c r="A89" s="382"/>
      <c r="B89" s="252"/>
      <c r="C89" s="252"/>
      <c r="D89" s="252"/>
      <c r="E89" s="252"/>
      <c r="F89" s="252"/>
      <c r="G89" s="252"/>
      <c r="H89" s="252"/>
      <c r="I89" s="257"/>
      <c r="J89" s="173"/>
      <c r="K89" s="281" t="s">
        <v>311</v>
      </c>
      <c r="L89" s="173"/>
      <c r="M89" s="169"/>
      <c r="N89" s="44"/>
      <c r="O89" s="100"/>
      <c r="P89" s="128"/>
      <c r="Q89" s="77"/>
      <c r="R89" s="77"/>
      <c r="S89" s="77"/>
      <c r="T89" s="343" t="s">
        <v>257</v>
      </c>
      <c r="U89" s="323"/>
      <c r="V89" s="323"/>
      <c r="W89" s="323"/>
      <c r="X89" s="323"/>
      <c r="Y89" s="323"/>
      <c r="Z89" s="323"/>
      <c r="AA89" s="323"/>
      <c r="AB89" s="323"/>
      <c r="AC89" s="344"/>
      <c r="AD89" s="473"/>
      <c r="AE89" s="474"/>
      <c r="AF89" s="343"/>
      <c r="AG89" s="323"/>
      <c r="AH89" s="323"/>
      <c r="AI89" s="344"/>
      <c r="AJ89" s="47"/>
      <c r="AK89" s="47"/>
      <c r="AL89" s="324"/>
      <c r="AM89" s="77"/>
      <c r="AN89" s="77"/>
      <c r="AO89" s="77"/>
      <c r="AP89" s="77"/>
      <c r="AQ89" s="77"/>
      <c r="AR89" s="77"/>
      <c r="AS89" s="77"/>
      <c r="AT89" s="15"/>
      <c r="AU89" s="519"/>
      <c r="AV89" s="520"/>
      <c r="AW89" s="520"/>
      <c r="AX89" s="520"/>
      <c r="AY89" s="520"/>
      <c r="AZ89" s="521"/>
      <c r="BA89" s="520"/>
      <c r="BB89" s="521"/>
      <c r="BC89" s="520"/>
      <c r="BD89" s="521"/>
      <c r="BE89" s="520"/>
      <c r="BF89" s="523"/>
      <c r="BG89" s="523"/>
      <c r="BH89" s="523"/>
      <c r="BI89" s="523"/>
      <c r="BJ89" s="523"/>
      <c r="BK89" s="16"/>
      <c r="BL89" s="16"/>
      <c r="BM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8"/>
      <c r="DX89" s="19"/>
      <c r="EB89" s="20"/>
      <c r="EC89" s="27"/>
      <c r="ED89" s="33"/>
      <c r="EE89" s="77"/>
      <c r="EF89" s="77"/>
      <c r="EG89" s="44"/>
    </row>
    <row r="90" spans="1:137" ht="12.75" customHeight="1">
      <c r="A90" s="382"/>
      <c r="B90" s="252"/>
      <c r="C90" s="252"/>
      <c r="D90" s="252"/>
      <c r="E90" s="252"/>
      <c r="F90" s="252"/>
      <c r="G90" s="252"/>
      <c r="H90" s="252"/>
      <c r="I90" s="257"/>
      <c r="J90" s="174"/>
      <c r="K90" s="281" t="s">
        <v>312</v>
      </c>
      <c r="L90" s="173"/>
      <c r="M90" s="169"/>
      <c r="N90" s="44"/>
      <c r="O90" s="100"/>
      <c r="P90" s="128"/>
      <c r="Q90" s="77"/>
      <c r="R90" s="77"/>
      <c r="S90" s="77"/>
      <c r="T90" s="357" t="s">
        <v>332</v>
      </c>
      <c r="U90" s="403" t="s">
        <v>333</v>
      </c>
      <c r="V90" s="358">
        <v>4.5</v>
      </c>
      <c r="W90" s="358">
        <v>2.5</v>
      </c>
      <c r="X90" s="358">
        <v>4</v>
      </c>
      <c r="Y90" s="296" t="s">
        <v>110</v>
      </c>
      <c r="Z90" s="296" t="s">
        <v>112</v>
      </c>
      <c r="AA90" s="296" t="s">
        <v>112</v>
      </c>
      <c r="AB90" s="296" t="s">
        <v>112</v>
      </c>
      <c r="AC90" s="296" t="s">
        <v>112</v>
      </c>
      <c r="AD90" s="299">
        <v>0.02</v>
      </c>
      <c r="AE90" s="299">
        <v>0.75</v>
      </c>
      <c r="AF90" s="415">
        <v>0.02</v>
      </c>
      <c r="AG90" s="415">
        <v>0.02</v>
      </c>
      <c r="AH90" s="415">
        <v>1.4999999999999999E-2</v>
      </c>
      <c r="AI90" s="415">
        <v>0.01</v>
      </c>
      <c r="AL90" s="324"/>
      <c r="AM90" s="77"/>
      <c r="AN90" s="77"/>
      <c r="AO90" s="77"/>
      <c r="AP90" s="77"/>
      <c r="AQ90" s="77"/>
      <c r="AR90" s="77"/>
      <c r="AS90" s="77"/>
      <c r="AT90" s="15"/>
      <c r="AU90" s="519"/>
      <c r="AV90" s="520"/>
      <c r="AW90" s="520"/>
      <c r="AX90" s="520"/>
      <c r="AY90" s="520"/>
      <c r="AZ90" s="521"/>
      <c r="BA90" s="520"/>
      <c r="BB90" s="521"/>
      <c r="BC90" s="520"/>
      <c r="BD90" s="521"/>
      <c r="BE90" s="520"/>
      <c r="BF90" s="523"/>
      <c r="BG90" s="523"/>
      <c r="BH90" s="523"/>
      <c r="BI90" s="524"/>
      <c r="BJ90" s="524"/>
      <c r="BK90" s="16"/>
      <c r="BL90" s="16"/>
      <c r="BM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8"/>
      <c r="DX90" s="19"/>
      <c r="EB90" s="20"/>
      <c r="EC90" s="27"/>
      <c r="ED90" s="100"/>
      <c r="EE90" s="77"/>
      <c r="EF90" s="77"/>
      <c r="EG90" s="44"/>
    </row>
    <row r="91" spans="1:137" ht="12.75" customHeight="1">
      <c r="A91" s="382"/>
      <c r="B91" s="252"/>
      <c r="C91" s="252"/>
      <c r="D91" s="252"/>
      <c r="E91" s="252"/>
      <c r="F91" s="252"/>
      <c r="G91" s="252"/>
      <c r="H91" s="252"/>
      <c r="I91" s="257"/>
      <c r="J91" s="174"/>
      <c r="K91" s="281" t="s">
        <v>313</v>
      </c>
      <c r="L91" s="173"/>
      <c r="M91" s="169"/>
      <c r="N91" s="176"/>
      <c r="O91" s="100"/>
      <c r="P91" s="70"/>
      <c r="T91" s="343" t="s">
        <v>258</v>
      </c>
      <c r="U91" s="323"/>
      <c r="V91" s="323"/>
      <c r="W91" s="323"/>
      <c r="X91" s="323"/>
      <c r="Y91" s="323"/>
      <c r="Z91" s="323"/>
      <c r="AA91" s="323"/>
      <c r="AB91" s="323"/>
      <c r="AC91" s="344"/>
      <c r="AD91" s="473"/>
      <c r="AE91" s="474"/>
      <c r="AF91" s="343"/>
      <c r="AG91" s="323"/>
      <c r="AH91" s="323"/>
      <c r="AI91" s="344"/>
      <c r="AJ91" s="47"/>
      <c r="AK91" s="47"/>
      <c r="AL91" s="324"/>
      <c r="AT91" s="16"/>
      <c r="AU91" s="519"/>
      <c r="AV91" s="520"/>
      <c r="AW91" s="520"/>
      <c r="AX91" s="520"/>
      <c r="AY91" s="520"/>
      <c r="AZ91" s="521"/>
      <c r="BA91" s="520"/>
      <c r="BB91" s="521"/>
      <c r="BC91" s="520"/>
      <c r="BD91" s="521"/>
      <c r="BE91" s="520"/>
      <c r="BF91" s="523"/>
      <c r="BG91" s="523"/>
      <c r="BH91" s="524"/>
      <c r="BI91" s="524"/>
      <c r="BJ91" s="524"/>
      <c r="BK91" s="16"/>
      <c r="BL91" s="16"/>
      <c r="BM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8"/>
      <c r="DX91" s="19"/>
      <c r="EB91" s="20"/>
      <c r="EC91" s="27"/>
      <c r="ED91" s="33"/>
      <c r="EE91" s="77"/>
      <c r="EF91" s="77"/>
      <c r="EG91" s="44"/>
    </row>
    <row r="92" spans="1:137" ht="12.75" customHeight="1">
      <c r="A92" s="382"/>
      <c r="B92" s="252"/>
      <c r="C92" s="252"/>
      <c r="D92" s="252"/>
      <c r="E92" s="252"/>
      <c r="F92" s="252"/>
      <c r="G92" s="252"/>
      <c r="H92" s="252"/>
      <c r="I92" s="257"/>
      <c r="J92" s="174"/>
      <c r="K92" s="281" t="s">
        <v>314</v>
      </c>
      <c r="L92" s="173"/>
      <c r="M92" s="178"/>
      <c r="N92" s="176"/>
      <c r="O92" s="100"/>
      <c r="P92" s="303"/>
      <c r="Q92" s="77"/>
      <c r="R92" s="77"/>
      <c r="T92" s="340" t="s">
        <v>334</v>
      </c>
      <c r="U92" s="471" t="s">
        <v>449</v>
      </c>
      <c r="V92" s="472">
        <v>2.5</v>
      </c>
      <c r="W92" s="472">
        <v>1.25</v>
      </c>
      <c r="X92" s="472">
        <v>2.5</v>
      </c>
      <c r="Y92" s="299">
        <v>35</v>
      </c>
      <c r="Z92" s="299">
        <v>35</v>
      </c>
      <c r="AA92" s="299">
        <v>35</v>
      </c>
      <c r="AB92" s="299">
        <v>35</v>
      </c>
      <c r="AC92" s="299">
        <v>35</v>
      </c>
      <c r="AD92" s="299">
        <v>0.02</v>
      </c>
      <c r="AE92" s="299">
        <v>0.75</v>
      </c>
      <c r="AF92" s="415">
        <v>0.02</v>
      </c>
      <c r="AG92" s="415">
        <v>0.02</v>
      </c>
      <c r="AH92" s="415">
        <v>1.4999999999999999E-2</v>
      </c>
      <c r="AI92" s="415">
        <v>0.01</v>
      </c>
      <c r="AJ92" s="303"/>
      <c r="AK92" s="303"/>
      <c r="AL92" s="324"/>
      <c r="AT92" s="16"/>
      <c r="AU92" s="519"/>
      <c r="AV92" s="520"/>
      <c r="AW92" s="520"/>
      <c r="AX92" s="520"/>
      <c r="AY92" s="520"/>
      <c r="AZ92" s="521"/>
      <c r="BA92" s="520"/>
      <c r="BB92" s="521"/>
      <c r="BC92" s="520"/>
      <c r="BD92" s="521"/>
      <c r="BE92" s="520"/>
      <c r="BF92" s="523"/>
      <c r="BG92" s="523"/>
      <c r="BH92" s="523"/>
      <c r="BI92" s="523"/>
      <c r="BJ92" s="523"/>
      <c r="BK92" s="16"/>
      <c r="BL92" s="16"/>
      <c r="BM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8"/>
      <c r="DX92" s="19"/>
      <c r="EB92" s="20"/>
      <c r="EC92" s="27"/>
      <c r="ED92" s="33"/>
      <c r="EE92" s="77"/>
      <c r="EF92" s="77"/>
      <c r="EG92" s="44"/>
    </row>
    <row r="93" spans="1:137" ht="12.75" customHeight="1">
      <c r="A93" s="382"/>
      <c r="B93" s="252"/>
      <c r="C93" s="252"/>
      <c r="D93" s="252"/>
      <c r="E93" s="252"/>
      <c r="F93" s="252"/>
      <c r="G93" s="252"/>
      <c r="H93" s="252"/>
      <c r="I93" s="257"/>
      <c r="J93" s="174"/>
      <c r="K93" s="281" t="s">
        <v>315</v>
      </c>
      <c r="L93" s="173"/>
      <c r="M93" s="179"/>
      <c r="N93" s="53"/>
      <c r="O93" s="100"/>
      <c r="P93" s="303"/>
      <c r="Q93" s="77"/>
      <c r="R93" s="77"/>
      <c r="S93" s="77"/>
      <c r="T93" s="325" t="s">
        <v>335</v>
      </c>
      <c r="U93" s="404" t="s">
        <v>450</v>
      </c>
      <c r="V93" s="359">
        <v>1.25</v>
      </c>
      <c r="W93" s="359">
        <v>1.25</v>
      </c>
      <c r="X93" s="359">
        <v>1.25</v>
      </c>
      <c r="Y93" s="297">
        <v>35</v>
      </c>
      <c r="Z93" s="297">
        <v>35</v>
      </c>
      <c r="AA93" s="297" t="s">
        <v>112</v>
      </c>
      <c r="AB93" s="297" t="s">
        <v>112</v>
      </c>
      <c r="AC93" s="297" t="s">
        <v>112</v>
      </c>
      <c r="AD93" s="297">
        <v>0.02</v>
      </c>
      <c r="AE93" s="297">
        <v>0.75</v>
      </c>
      <c r="AF93" s="415">
        <v>0.02</v>
      </c>
      <c r="AG93" s="415">
        <v>0.02</v>
      </c>
      <c r="AH93" s="415">
        <v>1.4999999999999999E-2</v>
      </c>
      <c r="AI93" s="415">
        <v>0.01</v>
      </c>
      <c r="AL93" s="324"/>
      <c r="AM93" s="77"/>
      <c r="AN93" s="77"/>
      <c r="AO93" s="77"/>
      <c r="AP93" s="77"/>
      <c r="AQ93" s="77"/>
      <c r="AR93" s="77"/>
      <c r="AS93" s="77"/>
      <c r="AT93" s="15"/>
      <c r="AU93" s="519"/>
      <c r="AV93" s="520"/>
      <c r="AW93" s="520"/>
      <c r="AX93" s="520"/>
      <c r="AY93" s="520"/>
      <c r="AZ93" s="521"/>
      <c r="BA93" s="520"/>
      <c r="BB93" s="521"/>
      <c r="BC93" s="520"/>
      <c r="BD93" s="521"/>
      <c r="BE93" s="520"/>
      <c r="BF93" s="523"/>
      <c r="BG93" s="523"/>
      <c r="BH93" s="524"/>
      <c r="BI93" s="524"/>
      <c r="BJ93" s="524"/>
      <c r="BK93" s="16"/>
      <c r="BL93" s="16"/>
      <c r="BM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8"/>
      <c r="DX93" s="19"/>
      <c r="EB93" s="20"/>
      <c r="EC93" s="27"/>
      <c r="ED93" s="100"/>
      <c r="EE93" s="77"/>
      <c r="EF93" s="77"/>
      <c r="EG93" s="44"/>
    </row>
    <row r="94" spans="1:137" ht="12.75" customHeight="1">
      <c r="A94" s="382"/>
      <c r="B94" s="252"/>
      <c r="C94" s="252"/>
      <c r="D94" s="252"/>
      <c r="E94" s="252"/>
      <c r="F94" s="252"/>
      <c r="G94" s="252"/>
      <c r="H94" s="252"/>
      <c r="I94" s="257"/>
      <c r="J94" s="174"/>
      <c r="K94" s="281" t="s">
        <v>316</v>
      </c>
      <c r="L94" s="173"/>
      <c r="M94" s="176"/>
      <c r="N94" s="180"/>
      <c r="O94" s="33"/>
      <c r="P94" s="303"/>
      <c r="Q94" s="77"/>
      <c r="R94" s="77"/>
      <c r="T94" s="360" t="s">
        <v>336</v>
      </c>
      <c r="U94" s="404" t="s">
        <v>137</v>
      </c>
      <c r="V94" s="361">
        <v>2.5</v>
      </c>
      <c r="W94" s="361">
        <v>1.25</v>
      </c>
      <c r="X94" s="361">
        <v>2.5</v>
      </c>
      <c r="Y94" s="298">
        <v>35</v>
      </c>
      <c r="Z94" s="298">
        <v>35</v>
      </c>
      <c r="AA94" s="298">
        <v>35</v>
      </c>
      <c r="AB94" s="298">
        <v>35</v>
      </c>
      <c r="AC94" s="298">
        <v>35</v>
      </c>
      <c r="AD94" s="125">
        <v>0.02</v>
      </c>
      <c r="AE94" s="125">
        <v>0.75</v>
      </c>
      <c r="AF94" s="415">
        <v>0.02</v>
      </c>
      <c r="AG94" s="415">
        <v>0.02</v>
      </c>
      <c r="AH94" s="415">
        <v>1.4999999999999999E-2</v>
      </c>
      <c r="AI94" s="415">
        <v>0.01</v>
      </c>
      <c r="AJ94" s="126"/>
      <c r="AK94" s="126"/>
      <c r="AL94" s="324"/>
      <c r="AT94" s="16"/>
      <c r="AU94" s="519"/>
      <c r="AV94" s="520"/>
      <c r="AW94" s="520"/>
      <c r="AX94" s="520"/>
      <c r="AY94" s="520"/>
      <c r="AZ94" s="521"/>
      <c r="BA94" s="520"/>
      <c r="BB94" s="521"/>
      <c r="BC94" s="520"/>
      <c r="BD94" s="521"/>
      <c r="BE94" s="520"/>
      <c r="BF94" s="523"/>
      <c r="BG94" s="524"/>
      <c r="BH94" s="524"/>
      <c r="BI94" s="524"/>
      <c r="BJ94" s="524"/>
      <c r="BK94" s="16"/>
      <c r="BL94" s="16"/>
      <c r="BM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8"/>
      <c r="DX94" s="19"/>
      <c r="EB94" s="20"/>
      <c r="EC94" s="27"/>
      <c r="ED94" s="100"/>
      <c r="EE94" s="77"/>
      <c r="EF94" s="77"/>
      <c r="EG94" s="44"/>
    </row>
    <row r="95" spans="1:137" ht="12.75" customHeight="1">
      <c r="A95" s="382"/>
      <c r="B95" s="252"/>
      <c r="C95" s="252"/>
      <c r="D95" s="252"/>
      <c r="E95" s="252"/>
      <c r="F95" s="252"/>
      <c r="G95" s="252"/>
      <c r="H95" s="252"/>
      <c r="I95" s="257"/>
      <c r="J95" s="174"/>
      <c r="K95" s="281" t="s">
        <v>317</v>
      </c>
      <c r="L95" s="173"/>
      <c r="M95" s="176"/>
      <c r="N95" s="180"/>
      <c r="O95" s="33"/>
      <c r="P95" s="70"/>
      <c r="T95" s="325" t="s">
        <v>337</v>
      </c>
      <c r="U95" s="404" t="s">
        <v>436</v>
      </c>
      <c r="V95" s="359">
        <v>1.5</v>
      </c>
      <c r="W95" s="359">
        <v>1.25</v>
      </c>
      <c r="X95" s="359">
        <v>1.5</v>
      </c>
      <c r="Y95" s="297">
        <v>35</v>
      </c>
      <c r="Z95" s="297">
        <v>35</v>
      </c>
      <c r="AA95" s="297" t="s">
        <v>112</v>
      </c>
      <c r="AB95" s="297" t="s">
        <v>112</v>
      </c>
      <c r="AC95" s="297" t="s">
        <v>112</v>
      </c>
      <c r="AD95" s="297">
        <v>0.02</v>
      </c>
      <c r="AE95" s="297">
        <v>0.75</v>
      </c>
      <c r="AF95" s="415">
        <v>0.02</v>
      </c>
      <c r="AG95" s="415">
        <v>0.02</v>
      </c>
      <c r="AH95" s="415">
        <v>1.4999999999999999E-2</v>
      </c>
      <c r="AI95" s="415">
        <v>0.01</v>
      </c>
      <c r="AJ95" s="77"/>
      <c r="AK95" s="77"/>
      <c r="AL95" s="324"/>
      <c r="AT95" s="16"/>
      <c r="AU95" s="519"/>
      <c r="AV95" s="520"/>
      <c r="AW95" s="520"/>
      <c r="AX95" s="520"/>
      <c r="AY95" s="520"/>
      <c r="AZ95" s="521"/>
      <c r="BA95" s="520"/>
      <c r="BB95" s="521"/>
      <c r="BC95" s="520"/>
      <c r="BD95" s="521"/>
      <c r="BE95" s="520"/>
      <c r="BF95" s="523"/>
      <c r="BG95" s="523"/>
      <c r="BH95" s="523"/>
      <c r="BI95" s="524"/>
      <c r="BJ95" s="524"/>
      <c r="BK95" s="16"/>
      <c r="BL95" s="16"/>
      <c r="BM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8"/>
      <c r="DX95" s="19"/>
      <c r="EB95" s="20"/>
      <c r="EC95" s="27"/>
      <c r="ED95" s="100"/>
      <c r="EE95" s="77"/>
      <c r="EF95" s="77"/>
      <c r="EG95" s="44"/>
    </row>
    <row r="96" spans="1:137" ht="12.75" customHeight="1">
      <c r="A96" s="382"/>
      <c r="B96" s="252"/>
      <c r="C96" s="252"/>
      <c r="D96" s="252"/>
      <c r="E96" s="252"/>
      <c r="F96" s="252"/>
      <c r="G96" s="252"/>
      <c r="H96" s="252"/>
      <c r="I96" s="257"/>
      <c r="J96" s="174"/>
      <c r="K96" s="27" t="s">
        <v>318</v>
      </c>
      <c r="L96" s="173"/>
      <c r="M96" s="176"/>
      <c r="N96" s="180"/>
      <c r="O96" s="100"/>
      <c r="P96" s="70"/>
      <c r="T96" s="325" t="s">
        <v>338</v>
      </c>
      <c r="U96" s="404" t="s">
        <v>437</v>
      </c>
      <c r="V96" s="359">
        <v>1</v>
      </c>
      <c r="W96" s="359">
        <v>1.25</v>
      </c>
      <c r="X96" s="359">
        <v>1</v>
      </c>
      <c r="Y96" s="297">
        <v>35</v>
      </c>
      <c r="Z96" s="297" t="s">
        <v>112</v>
      </c>
      <c r="AA96" s="297" t="s">
        <v>112</v>
      </c>
      <c r="AB96" s="297" t="s">
        <v>112</v>
      </c>
      <c r="AC96" s="297" t="s">
        <v>112</v>
      </c>
      <c r="AD96" s="297">
        <v>0.02</v>
      </c>
      <c r="AE96" s="297">
        <v>0.75</v>
      </c>
      <c r="AF96" s="415">
        <v>0.02</v>
      </c>
      <c r="AG96" s="415">
        <v>0.02</v>
      </c>
      <c r="AH96" s="415">
        <v>1.4999999999999999E-2</v>
      </c>
      <c r="AI96" s="415">
        <v>0.01</v>
      </c>
      <c r="AJ96" s="27"/>
      <c r="AK96" s="27"/>
      <c r="AL96" s="324"/>
      <c r="AT96" s="16"/>
      <c r="AU96" s="525"/>
      <c r="AV96" s="518"/>
      <c r="AW96" s="518"/>
      <c r="AX96" s="518"/>
      <c r="AY96" s="518"/>
      <c r="AZ96" s="509"/>
      <c r="BA96" s="509"/>
      <c r="BB96" s="509"/>
      <c r="BC96" s="509"/>
      <c r="BD96" s="509"/>
      <c r="BE96" s="509"/>
      <c r="BF96" s="509"/>
      <c r="BG96" s="509"/>
      <c r="BH96" s="509"/>
      <c r="BI96" s="509"/>
      <c r="BJ96" s="509"/>
      <c r="BK96" s="16"/>
      <c r="BL96" s="16"/>
      <c r="BM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8"/>
      <c r="DX96" s="19"/>
    </row>
    <row r="97" spans="1:128" ht="12.75" customHeight="1">
      <c r="A97" s="382"/>
      <c r="B97" s="252"/>
      <c r="C97" s="252"/>
      <c r="D97" s="252"/>
      <c r="E97" s="252"/>
      <c r="F97" s="252"/>
      <c r="G97" s="252"/>
      <c r="H97" s="252"/>
      <c r="I97" s="257"/>
      <c r="J97" s="174"/>
      <c r="K97" s="281" t="s">
        <v>323</v>
      </c>
      <c r="L97" s="173"/>
      <c r="M97" s="181"/>
      <c r="N97" s="176"/>
      <c r="O97" s="100"/>
      <c r="P97" s="70"/>
      <c r="T97" s="325" t="s">
        <v>339</v>
      </c>
      <c r="U97" s="404" t="s">
        <v>451</v>
      </c>
      <c r="V97" s="359">
        <v>1.5</v>
      </c>
      <c r="W97" s="359">
        <v>1.5</v>
      </c>
      <c r="X97" s="359">
        <v>1.5</v>
      </c>
      <c r="Y97" s="297">
        <v>35</v>
      </c>
      <c r="Z97" s="297">
        <v>35</v>
      </c>
      <c r="AA97" s="297">
        <v>35</v>
      </c>
      <c r="AB97" s="297" t="s">
        <v>112</v>
      </c>
      <c r="AC97" s="297" t="s">
        <v>112</v>
      </c>
      <c r="AD97" s="297">
        <v>0.02</v>
      </c>
      <c r="AE97" s="297">
        <v>0.75</v>
      </c>
      <c r="AF97" s="415">
        <v>0.02</v>
      </c>
      <c r="AG97" s="415">
        <v>0.02</v>
      </c>
      <c r="AH97" s="415">
        <v>1.4999999999999999E-2</v>
      </c>
      <c r="AI97" s="415">
        <v>0.01</v>
      </c>
      <c r="AJ97" s="33"/>
      <c r="AK97" s="33"/>
      <c r="AL97" s="324"/>
      <c r="AT97" s="16"/>
      <c r="AU97" s="519"/>
      <c r="AV97" s="520"/>
      <c r="AW97" s="520"/>
      <c r="AX97" s="520"/>
      <c r="AY97" s="520"/>
      <c r="AZ97" s="521"/>
      <c r="BA97" s="520"/>
      <c r="BB97" s="521"/>
      <c r="BC97" s="520"/>
      <c r="BD97" s="521"/>
      <c r="BE97" s="520"/>
      <c r="BF97" s="522"/>
      <c r="BG97" s="522"/>
      <c r="BH97" s="524"/>
      <c r="BI97" s="524"/>
      <c r="BJ97" s="524"/>
      <c r="BK97" s="16"/>
      <c r="BL97" s="16"/>
      <c r="BM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8"/>
      <c r="DX97" s="19"/>
    </row>
    <row r="98" spans="1:128" ht="12.75" customHeight="1">
      <c r="A98" s="382"/>
      <c r="B98" s="252"/>
      <c r="C98" s="252"/>
      <c r="D98" s="252"/>
      <c r="E98" s="252"/>
      <c r="F98" s="252"/>
      <c r="G98" s="252"/>
      <c r="H98" s="252"/>
      <c r="I98" s="257"/>
      <c r="J98" s="174"/>
      <c r="K98" s="281" t="s">
        <v>324</v>
      </c>
      <c r="L98" s="173"/>
      <c r="M98" s="20"/>
      <c r="N98" s="20"/>
      <c r="O98" s="33"/>
      <c r="P98" s="70"/>
      <c r="T98" s="343" t="s">
        <v>342</v>
      </c>
      <c r="U98" s="323"/>
      <c r="V98" s="323"/>
      <c r="W98" s="323"/>
      <c r="X98" s="323"/>
      <c r="Y98" s="323"/>
      <c r="Z98" s="323"/>
      <c r="AA98" s="323"/>
      <c r="AB98" s="323"/>
      <c r="AC98" s="344"/>
      <c r="AD98" s="475"/>
      <c r="AE98" s="474"/>
      <c r="AF98" s="343"/>
      <c r="AG98" s="323"/>
      <c r="AH98" s="323"/>
      <c r="AI98" s="344"/>
      <c r="AL98" s="324"/>
      <c r="AT98" s="16"/>
      <c r="AU98" s="16"/>
      <c r="AV98" s="16"/>
      <c r="AW98" s="16"/>
      <c r="AX98" s="16"/>
      <c r="AY98" s="16"/>
      <c r="AZ98" s="16"/>
      <c r="BA98" s="16"/>
      <c r="BB98" s="16"/>
      <c r="BC98" s="16"/>
      <c r="BD98" s="16"/>
      <c r="BE98" s="16"/>
      <c r="BF98" s="16"/>
      <c r="BG98" s="16"/>
      <c r="BH98" s="16"/>
      <c r="BI98" s="16"/>
      <c r="BJ98" s="16"/>
      <c r="BK98" s="16"/>
      <c r="BL98" s="16"/>
      <c r="BM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8"/>
      <c r="DX98" s="19"/>
    </row>
    <row r="99" spans="1:128" ht="12.75" customHeight="1">
      <c r="A99" s="382"/>
      <c r="B99" s="252"/>
      <c r="C99" s="252"/>
      <c r="D99" s="252"/>
      <c r="E99" s="252"/>
      <c r="F99" s="252"/>
      <c r="G99" s="252"/>
      <c r="H99" s="252"/>
      <c r="I99" s="257"/>
      <c r="J99" s="33"/>
      <c r="K99" s="281" t="s">
        <v>325</v>
      </c>
      <c r="L99" s="182"/>
      <c r="M99" s="20"/>
      <c r="N99" s="44"/>
      <c r="O99" s="100"/>
      <c r="P99" s="70"/>
      <c r="T99" s="343" t="s">
        <v>341</v>
      </c>
      <c r="U99" s="408" t="s">
        <v>343</v>
      </c>
      <c r="V99" s="397">
        <v>3</v>
      </c>
      <c r="W99" s="397">
        <v>3</v>
      </c>
      <c r="X99" s="397">
        <v>3</v>
      </c>
      <c r="Y99" s="321" t="s">
        <v>110</v>
      </c>
      <c r="Z99" s="321" t="s">
        <v>110</v>
      </c>
      <c r="AA99" s="321" t="s">
        <v>112</v>
      </c>
      <c r="AB99" s="321" t="s">
        <v>112</v>
      </c>
      <c r="AC99" s="321" t="s">
        <v>112</v>
      </c>
      <c r="AD99" s="283">
        <v>0.02</v>
      </c>
      <c r="AE99" s="283">
        <v>0.75</v>
      </c>
      <c r="AF99" s="490">
        <v>0.02</v>
      </c>
      <c r="AG99" s="490">
        <v>0.02</v>
      </c>
      <c r="AH99" s="490">
        <v>1.4999999999999999E-2</v>
      </c>
      <c r="AI99" s="491">
        <v>0.01</v>
      </c>
      <c r="AL99" s="47"/>
      <c r="AT99" s="16"/>
      <c r="AU99" s="526"/>
      <c r="AV99" s="509"/>
      <c r="AW99" s="509"/>
      <c r="AX99" s="509"/>
      <c r="AY99" s="509"/>
      <c r="AZ99" s="509"/>
      <c r="BA99" s="509"/>
      <c r="BB99" s="509"/>
      <c r="BC99" s="509"/>
      <c r="BD99" s="509"/>
      <c r="BE99" s="509"/>
      <c r="BF99" s="509"/>
      <c r="BG99" s="509"/>
      <c r="BH99" s="16"/>
      <c r="BI99" s="16"/>
      <c r="BJ99" s="16"/>
      <c r="BK99" s="16"/>
      <c r="BL99" s="16"/>
      <c r="BM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8"/>
      <c r="DX99" s="19"/>
    </row>
    <row r="100" spans="1:128" ht="12.75" customHeight="1">
      <c r="A100" s="382"/>
      <c r="B100" s="252"/>
      <c r="C100" s="252"/>
      <c r="D100" s="252"/>
      <c r="E100" s="252"/>
      <c r="F100" s="252"/>
      <c r="G100" s="252"/>
      <c r="H100" s="252"/>
      <c r="I100" s="257"/>
      <c r="J100" s="33"/>
      <c r="K100" s="281" t="s">
        <v>326</v>
      </c>
      <c r="L100" s="179"/>
      <c r="M100" s="178"/>
      <c r="N100" s="176"/>
      <c r="O100" s="100"/>
      <c r="P100" s="70"/>
      <c r="AL100" s="47"/>
      <c r="AT100" s="16"/>
      <c r="AU100" s="509"/>
      <c r="AV100" s="509"/>
      <c r="AW100" s="509"/>
      <c r="AX100" s="509"/>
      <c r="AY100" s="509"/>
      <c r="AZ100" s="509"/>
      <c r="BA100" s="509"/>
      <c r="BB100" s="509"/>
      <c r="BC100" s="509"/>
      <c r="BD100" s="509"/>
      <c r="BE100" s="509"/>
      <c r="BF100" s="509"/>
      <c r="BG100" s="509"/>
      <c r="BH100" s="16"/>
      <c r="BI100" s="16"/>
      <c r="BJ100" s="16"/>
      <c r="BK100" s="16"/>
      <c r="BL100" s="16"/>
      <c r="BM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8"/>
      <c r="DX100" s="19"/>
    </row>
    <row r="101" spans="1:128" ht="12.75" customHeight="1">
      <c r="A101" s="382"/>
      <c r="B101" s="252"/>
      <c r="C101" s="252"/>
      <c r="D101" s="252"/>
      <c r="E101" s="252"/>
      <c r="F101" s="252"/>
      <c r="G101" s="252"/>
      <c r="H101" s="252"/>
      <c r="I101" s="257"/>
      <c r="J101" s="33"/>
      <c r="K101" s="281" t="s">
        <v>327</v>
      </c>
      <c r="L101" s="179"/>
      <c r="M101" s="178"/>
      <c r="N101" s="176"/>
      <c r="O101" s="100"/>
      <c r="P101" s="70"/>
      <c r="AL101" s="47"/>
      <c r="AT101" s="16"/>
      <c r="AU101" s="509"/>
      <c r="AV101" s="509"/>
      <c r="AW101" s="509"/>
      <c r="AX101" s="509"/>
      <c r="AY101" s="509"/>
      <c r="AZ101" s="509"/>
      <c r="BA101" s="509"/>
      <c r="BB101" s="509"/>
      <c r="BC101" s="509"/>
      <c r="BD101" s="509"/>
      <c r="BE101" s="509"/>
      <c r="BF101" s="509"/>
      <c r="BG101" s="509"/>
      <c r="BH101" s="16"/>
      <c r="BI101" s="16"/>
      <c r="BJ101" s="16"/>
      <c r="BK101" s="16"/>
      <c r="BL101" s="16"/>
      <c r="BM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8"/>
      <c r="DX101" s="19"/>
    </row>
    <row r="102" spans="1:128" ht="12.75" customHeight="1">
      <c r="A102" s="382"/>
      <c r="B102" s="252"/>
      <c r="C102" s="252"/>
      <c r="D102" s="252"/>
      <c r="E102" s="252"/>
      <c r="F102" s="252"/>
      <c r="G102" s="252"/>
      <c r="H102" s="252"/>
      <c r="I102" s="257"/>
      <c r="J102" s="33"/>
      <c r="K102" s="281" t="s">
        <v>328</v>
      </c>
      <c r="L102" s="179"/>
      <c r="M102" s="179"/>
      <c r="N102" s="53"/>
      <c r="O102" s="100"/>
      <c r="P102" s="70"/>
      <c r="T102" s="270"/>
      <c r="U102" s="278"/>
      <c r="V102" s="282"/>
      <c r="W102" s="401"/>
      <c r="X102" s="282"/>
      <c r="Y102" s="286" t="s">
        <v>148</v>
      </c>
      <c r="Z102" s="287"/>
      <c r="AA102" s="287"/>
      <c r="AB102" s="287"/>
      <c r="AC102" s="288"/>
      <c r="AD102" s="282"/>
      <c r="AE102" s="289"/>
      <c r="AF102" s="290"/>
      <c r="AH102" s="324"/>
      <c r="AL102" s="303"/>
      <c r="AT102" s="16"/>
      <c r="AU102" s="509"/>
      <c r="AV102" s="509"/>
      <c r="AW102" s="509"/>
      <c r="AX102" s="509"/>
      <c r="AY102" s="509"/>
      <c r="AZ102" s="509"/>
      <c r="BA102" s="509"/>
      <c r="BB102" s="509"/>
      <c r="BC102" s="509"/>
      <c r="BD102" s="509"/>
      <c r="BE102" s="509"/>
      <c r="BF102" s="509"/>
      <c r="BG102" s="509"/>
      <c r="BH102" s="16"/>
      <c r="BI102" s="16"/>
      <c r="BJ102" s="16"/>
      <c r="BK102" s="16"/>
      <c r="BL102" s="16"/>
      <c r="BM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8"/>
      <c r="DX102" s="19"/>
    </row>
    <row r="103" spans="1:128" ht="12.75" customHeight="1">
      <c r="A103" s="382"/>
      <c r="B103" s="252"/>
      <c r="C103" s="252"/>
      <c r="D103" s="252"/>
      <c r="E103" s="252"/>
      <c r="F103" s="252"/>
      <c r="G103" s="252"/>
      <c r="H103" s="252"/>
      <c r="I103" s="257"/>
      <c r="J103" s="33"/>
      <c r="K103" s="281" t="s">
        <v>329</v>
      </c>
      <c r="M103" s="136"/>
      <c r="N103" s="150"/>
      <c r="O103" s="128"/>
      <c r="P103" s="70"/>
      <c r="T103" s="41" t="s">
        <v>149</v>
      </c>
      <c r="U103" s="43"/>
      <c r="V103" s="268" t="s">
        <v>109</v>
      </c>
      <c r="W103" s="294" t="s">
        <v>13</v>
      </c>
      <c r="X103" s="268" t="s">
        <v>155</v>
      </c>
      <c r="Y103" s="269" t="s">
        <v>111</v>
      </c>
      <c r="Z103" s="265" t="s">
        <v>33</v>
      </c>
      <c r="AA103" s="265" t="s">
        <v>32</v>
      </c>
      <c r="AB103" s="265" t="s">
        <v>35</v>
      </c>
      <c r="AC103" s="265" t="s">
        <v>36</v>
      </c>
      <c r="AD103" s="268" t="s">
        <v>142</v>
      </c>
      <c r="AE103" s="283" t="s">
        <v>62</v>
      </c>
      <c r="AF103" s="283" t="s">
        <v>143</v>
      </c>
      <c r="AG103" s="126" t="s">
        <v>150</v>
      </c>
      <c r="AT103" s="16"/>
      <c r="AU103" s="509"/>
      <c r="AV103" s="509"/>
      <c r="AW103" s="509"/>
      <c r="AX103" s="509"/>
      <c r="AY103" s="509"/>
      <c r="AZ103" s="509"/>
      <c r="BA103" s="509"/>
      <c r="BB103" s="509"/>
      <c r="BC103" s="509"/>
      <c r="BD103" s="509"/>
      <c r="BE103" s="509"/>
      <c r="BF103" s="509"/>
      <c r="BG103" s="509"/>
      <c r="BH103" s="16"/>
      <c r="BI103" s="16"/>
      <c r="BJ103" s="16"/>
      <c r="BK103" s="16"/>
      <c r="BL103" s="16"/>
      <c r="BM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8"/>
      <c r="DX103" s="19"/>
    </row>
    <row r="104" spans="1:128" ht="12.75" customHeight="1">
      <c r="A104" s="382"/>
      <c r="B104" s="433"/>
      <c r="C104" s="434"/>
      <c r="D104" s="435"/>
      <c r="E104" s="436"/>
      <c r="F104" s="437"/>
      <c r="G104" s="438"/>
      <c r="H104" s="439"/>
      <c r="I104" s="257"/>
      <c r="J104" s="33"/>
      <c r="K104" s="281" t="s">
        <v>330</v>
      </c>
      <c r="L104" s="20"/>
      <c r="M104" s="181"/>
      <c r="N104" s="150"/>
      <c r="O104" s="128"/>
      <c r="P104" s="128"/>
      <c r="T104" s="295" t="str">
        <f>$C$15</f>
        <v>B2</v>
      </c>
      <c r="U104" s="395" t="str">
        <f>VLOOKUP($C$15,$T$8:$AE$97,2, FALSE)</f>
        <v>Steel special concentrically braced frames</v>
      </c>
      <c r="V104" s="282">
        <f>VLOOKUP($C$15,$T$8:$AE$97,3, FALSE)</f>
        <v>6</v>
      </c>
      <c r="W104" s="282">
        <f>VLOOKUP($C$15,$T$8:$AE$97,4, FALSE)</f>
        <v>2</v>
      </c>
      <c r="X104" s="282">
        <f>VLOOKUP($C$15,$T$8:$AE$97,5, FALSE)</f>
        <v>5</v>
      </c>
      <c r="Y104" s="282" t="str">
        <f>VLOOKUP($C$15,$T$8:$AE$97,6, FALSE)</f>
        <v>NL</v>
      </c>
      <c r="Z104" s="282" t="str">
        <f>VLOOKUP($C$15,$T$8:$AE$97,7, FALSE)</f>
        <v>NL</v>
      </c>
      <c r="AA104" s="282">
        <f>VLOOKUP($C$15,$T$8:$AE$97,8, FALSE)</f>
        <v>160</v>
      </c>
      <c r="AB104" s="282">
        <f>VLOOKUP($C$15,$T$8:$AE$97,9, FALSE)</f>
        <v>160</v>
      </c>
      <c r="AC104" s="282">
        <f>VLOOKUP($C$15,$T$8:$AE$97,10, FALSE)</f>
        <v>100</v>
      </c>
      <c r="AD104" s="282">
        <f>VLOOKUP($C$15,$T$8:$AE$97,11, FALSE)</f>
        <v>0.03</v>
      </c>
      <c r="AE104" s="290" t="str">
        <f>$C$57</f>
        <v>C</v>
      </c>
      <c r="AF104" s="291" t="str">
        <f>$C$15</f>
        <v>B2</v>
      </c>
      <c r="AG104" s="77"/>
      <c r="AL104" s="126"/>
      <c r="AT104" s="16"/>
      <c r="AU104" s="509"/>
      <c r="AV104" s="509"/>
      <c r="AW104" s="509"/>
      <c r="AX104" s="509"/>
      <c r="AY104" s="509"/>
      <c r="AZ104" s="509"/>
      <c r="BA104" s="509"/>
      <c r="BB104" s="509"/>
      <c r="BC104" s="509"/>
      <c r="BD104" s="509"/>
      <c r="BE104" s="509"/>
      <c r="BF104" s="509"/>
      <c r="BG104" s="509"/>
      <c r="BH104" s="16"/>
      <c r="BI104" s="16"/>
      <c r="BJ104" s="16"/>
      <c r="BK104" s="16"/>
      <c r="BL104" s="16"/>
      <c r="BM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8"/>
      <c r="DX104" s="19"/>
    </row>
    <row r="105" spans="1:128" ht="12.75" customHeight="1">
      <c r="A105" s="382"/>
      <c r="B105" s="252"/>
      <c r="C105" s="252"/>
      <c r="D105" s="252"/>
      <c r="E105" s="252"/>
      <c r="F105" s="252"/>
      <c r="G105" s="252"/>
      <c r="H105" s="252"/>
      <c r="I105" s="257"/>
      <c r="J105" s="33"/>
      <c r="K105" s="27" t="s">
        <v>332</v>
      </c>
      <c r="L105" s="20"/>
      <c r="M105" s="33"/>
      <c r="O105" s="77"/>
      <c r="P105" s="70"/>
      <c r="T105" s="302"/>
      <c r="U105" s="396"/>
      <c r="V105" s="301"/>
      <c r="W105" s="301"/>
      <c r="X105" s="301"/>
      <c r="Y105" s="301" t="str">
        <f>IF(OR($AE$104="A",$AE$104="B"),IF($Y$104="NP","N.P.",IF($Y$104="NL","O.K.",IF(AND($Y$104&gt;0,$Y$104&gt;=$AF$104),"O.K."))),"N.A.")</f>
        <v>N.A.</v>
      </c>
      <c r="Z105" s="301" t="str">
        <f>IF($AE$104="C",IF($Z$104="NP","N.P.",IF($Z$104="NL","O.K.",IF(AND($Z$104&gt;0,$Z$104&gt;=$AF$104),"O.K.", "N.P."))),"N.A.")</f>
        <v>O.K.</v>
      </c>
      <c r="AA105" s="301" t="str">
        <f>IF($AE$104="D",IF($AA$104="NP","N.P.",IF($AA$104="NL","O.K.",IF(AND($AA$104&gt;0,$AA$104&gt;=$AF$104),"O.K.", "N.P."))),"N.A.")</f>
        <v>N.A.</v>
      </c>
      <c r="AB105" s="301" t="str">
        <f>IF($AE$104="E",IF($AB$104="NP","N.P.",IF($AB$104="NL","O.K.",IF(AND($AB$104&gt;0,$AB$104&gt;=$AF$104),"O.K.", "N.P."))),"N.A.")</f>
        <v>N.A.</v>
      </c>
      <c r="AC105" s="301" t="str">
        <f>IF($AE$104="F",IF($AC$104="NP","N.P.",IF($AC$104="NL","O.K.",IF(AND($AC$104&gt;0,$AC$104&gt;=$AF$104),"O.K.", "N.P."))),"N.A.")</f>
        <v>N.A.</v>
      </c>
      <c r="AD105" s="294"/>
      <c r="AE105" s="294"/>
      <c r="AF105" s="294"/>
      <c r="AG105" s="27" t="str">
        <f>IF(OR($AE$104="A",$AE$104="B"),$Y$105,IF($AE$104="C",$Z$105,IF($AE$104="D",$AA$105,IF($AE$104="E",$AB$105,IF($AE$104="F",$AC$105)))))</f>
        <v>O.K.</v>
      </c>
      <c r="AL105" s="77"/>
      <c r="AT105" s="16"/>
      <c r="AU105" s="509"/>
      <c r="AV105" s="509"/>
      <c r="AW105" s="509"/>
      <c r="AX105" s="509"/>
      <c r="AY105" s="509"/>
      <c r="AZ105" s="509"/>
      <c r="BA105" s="509"/>
      <c r="BB105" s="509"/>
      <c r="BC105" s="509"/>
      <c r="BD105" s="509"/>
      <c r="BE105" s="509"/>
      <c r="BF105" s="509"/>
      <c r="BG105" s="509"/>
      <c r="BH105" s="509"/>
      <c r="BI105" s="509"/>
      <c r="BJ105" s="509"/>
      <c r="BK105" s="16"/>
      <c r="BL105" s="16"/>
      <c r="BM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8"/>
      <c r="DX105" s="19"/>
    </row>
    <row r="106" spans="1:128" ht="12.75" customHeight="1">
      <c r="A106" s="500"/>
      <c r="B106" s="252"/>
      <c r="C106" s="423"/>
      <c r="D106" s="424"/>
      <c r="E106" s="252"/>
      <c r="F106" s="252"/>
      <c r="G106" s="252"/>
      <c r="H106" s="252"/>
      <c r="I106" s="257"/>
      <c r="J106" s="33"/>
      <c r="K106" s="281" t="s">
        <v>334</v>
      </c>
      <c r="L106" s="20"/>
      <c r="M106" s="181"/>
      <c r="N106" s="176"/>
      <c r="O106" s="128"/>
      <c r="P106" s="70"/>
      <c r="AL106" s="27"/>
      <c r="AT106" s="16"/>
      <c r="AU106" s="509"/>
      <c r="AV106" s="509"/>
      <c r="AW106" s="509"/>
      <c r="AX106" s="509"/>
      <c r="AY106" s="509"/>
      <c r="AZ106" s="509"/>
      <c r="BA106" s="509"/>
      <c r="BB106" s="509"/>
      <c r="BC106" s="509"/>
      <c r="BD106" s="509"/>
      <c r="BE106" s="509"/>
      <c r="BF106" s="509"/>
      <c r="BG106" s="509"/>
      <c r="BH106" s="16"/>
      <c r="BI106" s="16"/>
      <c r="BJ106" s="16"/>
      <c r="BK106" s="16"/>
      <c r="BL106" s="16"/>
      <c r="BM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8"/>
      <c r="DX106" s="19"/>
    </row>
    <row r="107" spans="1:128" ht="12.75" customHeight="1">
      <c r="A107" s="382"/>
      <c r="B107" s="252"/>
      <c r="C107" s="252"/>
      <c r="D107" s="252"/>
      <c r="E107" s="252"/>
      <c r="F107" s="252"/>
      <c r="G107" s="252"/>
      <c r="H107" s="252"/>
      <c r="I107" s="257"/>
      <c r="J107" s="33"/>
      <c r="K107" s="281" t="s">
        <v>335</v>
      </c>
      <c r="L107" s="20"/>
      <c r="M107" s="181"/>
      <c r="N107" s="148"/>
      <c r="O107" s="128"/>
      <c r="P107" s="70"/>
      <c r="AL107" s="77"/>
      <c r="AT107" s="16"/>
      <c r="AU107" s="509"/>
      <c r="AV107" s="509"/>
      <c r="AW107" s="509"/>
      <c r="AX107" s="509"/>
      <c r="AY107" s="509"/>
      <c r="AZ107" s="509"/>
      <c r="BA107" s="509"/>
      <c r="BB107" s="509"/>
      <c r="BC107" s="509"/>
      <c r="BD107" s="509"/>
      <c r="BE107" s="509"/>
      <c r="BF107" s="509"/>
      <c r="BG107" s="509"/>
      <c r="BH107" s="16"/>
      <c r="BI107" s="16"/>
      <c r="BJ107" s="16"/>
      <c r="BK107" s="16"/>
      <c r="BL107" s="16"/>
      <c r="BM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8"/>
      <c r="DX107" s="19"/>
    </row>
    <row r="108" spans="1:128" ht="12.75" customHeight="1">
      <c r="A108" s="382"/>
      <c r="B108" s="252"/>
      <c r="C108" s="252"/>
      <c r="D108" s="252"/>
      <c r="E108" s="252"/>
      <c r="F108" s="496"/>
      <c r="G108" s="497"/>
      <c r="H108" s="497"/>
      <c r="I108" s="498"/>
      <c r="J108" s="33"/>
      <c r="K108" s="281" t="s">
        <v>336</v>
      </c>
      <c r="L108" s="20"/>
      <c r="M108" s="190"/>
      <c r="N108" s="148"/>
      <c r="O108" s="128"/>
      <c r="P108" s="129"/>
      <c r="AT108" s="16"/>
      <c r="AU108" s="509"/>
      <c r="AV108" s="509"/>
      <c r="AW108" s="509"/>
      <c r="AX108" s="509"/>
      <c r="AY108" s="509"/>
      <c r="AZ108" s="509"/>
      <c r="BA108" s="509"/>
      <c r="BB108" s="509"/>
      <c r="BC108" s="509"/>
      <c r="BD108" s="509"/>
      <c r="BE108" s="509"/>
      <c r="BF108" s="509"/>
      <c r="BG108" s="509"/>
      <c r="BH108" s="16"/>
      <c r="BI108" s="16"/>
      <c r="BJ108" s="16"/>
      <c r="BK108" s="16"/>
      <c r="BL108" s="16"/>
      <c r="BM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8"/>
      <c r="DX108" s="19"/>
    </row>
    <row r="109" spans="1:128" ht="12.75" customHeight="1">
      <c r="A109" s="382"/>
      <c r="B109" s="252"/>
      <c r="C109" s="252"/>
      <c r="D109" s="252"/>
      <c r="E109" s="252"/>
      <c r="F109" s="252"/>
      <c r="G109" s="497"/>
      <c r="H109" s="497"/>
      <c r="I109" s="498"/>
      <c r="J109" s="33"/>
      <c r="K109" s="27" t="s">
        <v>337</v>
      </c>
      <c r="L109" s="20"/>
      <c r="M109" s="190"/>
      <c r="N109" s="191"/>
      <c r="O109" s="128"/>
      <c r="P109" s="129"/>
      <c r="AT109" s="16"/>
      <c r="AU109" s="509"/>
      <c r="AV109" s="509"/>
      <c r="AW109" s="509"/>
      <c r="AX109" s="509"/>
      <c r="AY109" s="509"/>
      <c r="AZ109" s="509"/>
      <c r="BA109" s="509"/>
      <c r="BB109" s="509"/>
      <c r="BC109" s="509"/>
      <c r="BD109" s="509"/>
      <c r="BE109" s="509"/>
      <c r="BF109" s="509"/>
      <c r="BG109" s="509"/>
      <c r="BH109" s="16"/>
      <c r="BI109" s="16"/>
      <c r="BJ109" s="16"/>
      <c r="BK109" s="16"/>
      <c r="BL109" s="16"/>
      <c r="BM109" s="16"/>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8"/>
      <c r="DX109" s="19"/>
    </row>
    <row r="110" spans="1:128" ht="12.75" customHeight="1">
      <c r="A110" s="382"/>
      <c r="B110" s="252"/>
      <c r="C110" s="252"/>
      <c r="D110" s="252"/>
      <c r="E110" s="252"/>
      <c r="F110" s="252"/>
      <c r="G110" s="252"/>
      <c r="H110" s="252"/>
      <c r="I110" s="257"/>
      <c r="J110" s="33"/>
      <c r="K110" s="27" t="s">
        <v>338</v>
      </c>
      <c r="L110" s="20"/>
      <c r="M110" s="193"/>
      <c r="N110" s="27"/>
      <c r="O110" s="128"/>
      <c r="P110" s="70"/>
      <c r="AT110" s="16"/>
      <c r="AU110" s="509"/>
      <c r="AV110" s="509"/>
      <c r="AW110" s="509"/>
      <c r="AX110" s="509"/>
      <c r="AY110" s="509"/>
      <c r="AZ110" s="509"/>
      <c r="BA110" s="509"/>
      <c r="BB110" s="509"/>
      <c r="BC110" s="509"/>
      <c r="BD110" s="509"/>
      <c r="BE110" s="509"/>
      <c r="BF110" s="509"/>
      <c r="BG110" s="509"/>
      <c r="BH110" s="16"/>
      <c r="BI110" s="16"/>
      <c r="BJ110" s="16"/>
      <c r="BK110" s="16"/>
      <c r="BL110" s="16"/>
      <c r="BM110" s="16"/>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8"/>
      <c r="DX110" s="19"/>
    </row>
    <row r="111" spans="1:128" ht="12.75" customHeight="1">
      <c r="A111" s="382"/>
      <c r="B111" s="252"/>
      <c r="C111" s="252"/>
      <c r="D111" s="252"/>
      <c r="E111" s="252"/>
      <c r="F111" s="252"/>
      <c r="G111" s="252"/>
      <c r="H111" s="252"/>
      <c r="I111" s="257"/>
      <c r="J111" s="33"/>
      <c r="K111" s="27" t="s">
        <v>339</v>
      </c>
      <c r="L111" s="20"/>
      <c r="M111" s="20"/>
      <c r="O111" s="77"/>
      <c r="P111" s="70"/>
      <c r="AT111" s="16"/>
      <c r="AU111" s="16"/>
      <c r="AV111" s="16"/>
      <c r="AW111" s="16"/>
      <c r="AX111" s="16"/>
      <c r="AY111" s="16"/>
      <c r="AZ111" s="16"/>
      <c r="BA111" s="16"/>
      <c r="BB111" s="16"/>
      <c r="BC111" s="16"/>
      <c r="BD111" s="16"/>
      <c r="BE111" s="16"/>
      <c r="BF111" s="16"/>
      <c r="BG111" s="16"/>
      <c r="BH111" s="16"/>
      <c r="BI111" s="16"/>
      <c r="BJ111" s="16"/>
      <c r="BK111" s="16"/>
      <c r="BL111" s="16"/>
      <c r="BM111" s="16"/>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8"/>
      <c r="DX111" s="19"/>
    </row>
    <row r="112" spans="1:128" ht="12.75" customHeight="1">
      <c r="A112" s="382"/>
      <c r="B112" s="252"/>
      <c r="C112" s="252"/>
      <c r="D112" s="252"/>
      <c r="E112" s="252"/>
      <c r="F112" s="252"/>
      <c r="G112" s="252"/>
      <c r="H112" s="252"/>
      <c r="I112" s="257"/>
      <c r="J112" s="33"/>
      <c r="K112" s="27" t="s">
        <v>340</v>
      </c>
      <c r="L112" s="20"/>
      <c r="M112" s="179"/>
      <c r="N112" s="196"/>
      <c r="O112" s="128"/>
      <c r="P112" s="70"/>
      <c r="AT112" s="16"/>
      <c r="AU112" s="16"/>
      <c r="AV112" s="16"/>
      <c r="AW112" s="16"/>
      <c r="AX112" s="16"/>
      <c r="AY112" s="16"/>
      <c r="AZ112" s="16"/>
      <c r="BA112" s="16"/>
      <c r="BB112" s="16"/>
      <c r="BC112" s="16"/>
      <c r="BD112" s="16"/>
      <c r="BE112" s="16"/>
      <c r="BF112" s="16"/>
      <c r="BG112" s="16"/>
      <c r="BH112" s="16"/>
      <c r="BI112" s="16"/>
      <c r="BJ112" s="16"/>
      <c r="BK112" s="16"/>
      <c r="BL112" s="16"/>
      <c r="BM112" s="16"/>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8"/>
      <c r="DX112" s="19"/>
    </row>
    <row r="113" spans="1:128" ht="12.75" customHeight="1">
      <c r="A113" s="382"/>
      <c r="B113" s="252"/>
      <c r="C113" s="252"/>
      <c r="D113" s="252"/>
      <c r="E113" s="252"/>
      <c r="F113" s="252"/>
      <c r="G113" s="252"/>
      <c r="H113" s="252"/>
      <c r="I113" s="257"/>
      <c r="J113" s="33"/>
      <c r="K113" s="27" t="s">
        <v>341</v>
      </c>
      <c r="L113" s="20"/>
      <c r="M113" s="179"/>
      <c r="N113" s="60"/>
      <c r="O113" s="128"/>
      <c r="P113" s="70"/>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8"/>
      <c r="DX113" s="19"/>
    </row>
    <row r="114" spans="1:128">
      <c r="A114" s="382"/>
      <c r="B114" s="252"/>
      <c r="C114" s="252"/>
      <c r="D114" s="252"/>
      <c r="E114" s="252"/>
      <c r="F114" s="252"/>
      <c r="G114" s="252"/>
      <c r="H114" s="252"/>
      <c r="I114" s="257"/>
      <c r="J114" s="33"/>
      <c r="K114" s="25"/>
      <c r="L114" s="20"/>
      <c r="M114" s="199"/>
      <c r="N114" s="60"/>
      <c r="O114" s="188"/>
      <c r="P114" s="189"/>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8"/>
      <c r="DX114" s="19"/>
    </row>
    <row r="115" spans="1:128">
      <c r="A115" s="382"/>
      <c r="B115" s="252"/>
      <c r="C115" s="252"/>
      <c r="D115" s="252"/>
      <c r="E115" s="252"/>
      <c r="F115" s="252"/>
      <c r="G115" s="252"/>
      <c r="H115" s="252"/>
      <c r="I115" s="257"/>
      <c r="J115" s="33"/>
      <c r="K115" s="25"/>
      <c r="L115" s="20"/>
      <c r="M115" s="20"/>
      <c r="N115" s="136"/>
      <c r="O115" s="128"/>
      <c r="P115" s="70"/>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8"/>
      <c r="DX115" s="19"/>
    </row>
    <row r="116" spans="1:128">
      <c r="A116" s="383"/>
      <c r="B116" s="392"/>
      <c r="C116" s="392"/>
      <c r="D116" s="392"/>
      <c r="E116" s="392"/>
      <c r="F116" s="392"/>
      <c r="G116" s="392"/>
      <c r="H116" s="392"/>
      <c r="I116" s="499"/>
      <c r="J116" s="33"/>
      <c r="K116" s="25"/>
      <c r="L116" s="20"/>
      <c r="M116" s="181"/>
      <c r="N116" s="150"/>
      <c r="O116" s="128"/>
      <c r="P116" s="70"/>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8"/>
      <c r="DX116" s="60"/>
    </row>
    <row r="117" spans="1:128">
      <c r="J117" s="33"/>
      <c r="K117" s="25"/>
      <c r="L117" s="20"/>
      <c r="M117" s="187"/>
      <c r="N117" s="150"/>
      <c r="O117" s="128"/>
      <c r="P117" s="128"/>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8"/>
      <c r="DX117" s="19"/>
    </row>
    <row r="118" spans="1:128">
      <c r="J118" s="33"/>
      <c r="K118" s="25"/>
      <c r="L118" s="20"/>
      <c r="M118" s="187"/>
      <c r="N118" s="150"/>
      <c r="O118" s="128"/>
      <c r="P118" s="128"/>
      <c r="AU118" s="410"/>
      <c r="AV118" s="410"/>
      <c r="AW118" s="410"/>
      <c r="AX118" s="410"/>
      <c r="AY118" s="410"/>
      <c r="AZ118" s="410"/>
      <c r="BA118" s="410"/>
      <c r="BB118" s="410"/>
      <c r="BC118" s="410"/>
      <c r="BD118" s="410"/>
      <c r="BE118" s="410"/>
      <c r="BF118" s="410"/>
      <c r="BG118" s="410"/>
      <c r="BH118" s="410"/>
      <c r="BI118" s="410"/>
      <c r="BJ118" s="410"/>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8"/>
      <c r="DX118" s="19"/>
    </row>
    <row r="119" spans="1:128">
      <c r="J119" s="33"/>
      <c r="K119" s="25"/>
      <c r="L119" s="20"/>
      <c r="M119" s="181"/>
      <c r="N119" s="150"/>
      <c r="O119" s="128"/>
      <c r="P119" s="70"/>
      <c r="AU119" s="410"/>
      <c r="AV119" s="410"/>
      <c r="AW119" s="410"/>
      <c r="AX119" s="410"/>
      <c r="AY119" s="410"/>
      <c r="AZ119" s="410"/>
      <c r="BA119" s="410"/>
      <c r="BB119" s="410"/>
      <c r="BC119" s="410"/>
      <c r="BD119" s="410"/>
      <c r="BE119" s="410"/>
      <c r="BF119" s="410"/>
      <c r="BG119" s="410"/>
      <c r="BH119" s="410"/>
      <c r="BI119" s="410"/>
      <c r="BJ119" s="410"/>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8"/>
      <c r="DX119" s="19"/>
    </row>
    <row r="120" spans="1:128">
      <c r="J120" s="33"/>
      <c r="K120" s="25"/>
      <c r="L120" s="20"/>
      <c r="M120" s="181"/>
      <c r="N120" s="60"/>
      <c r="O120" s="128"/>
      <c r="P120" s="70"/>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8"/>
      <c r="DX120" s="19"/>
    </row>
    <row r="121" spans="1:128">
      <c r="J121" s="33"/>
      <c r="K121" s="25"/>
      <c r="L121" s="20"/>
      <c r="M121" s="181"/>
      <c r="N121" s="150"/>
      <c r="O121" s="128"/>
      <c r="P121" s="33"/>
      <c r="AU121" s="410"/>
      <c r="AV121" s="410"/>
      <c r="AW121" s="410"/>
      <c r="AX121" s="410"/>
      <c r="AY121" s="410"/>
      <c r="AZ121" s="410"/>
      <c r="BA121" s="410"/>
      <c r="BB121" s="410"/>
      <c r="BC121" s="410"/>
      <c r="BD121" s="410"/>
      <c r="BE121" s="410"/>
      <c r="BF121" s="410"/>
      <c r="BG121" s="410"/>
      <c r="BH121" s="410"/>
      <c r="BI121" s="410"/>
      <c r="BJ121" s="410"/>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8"/>
      <c r="DX121" s="19"/>
    </row>
    <row r="122" spans="1:128">
      <c r="J122" s="33"/>
      <c r="K122" s="25"/>
      <c r="L122" s="20"/>
      <c r="M122" s="181"/>
      <c r="N122" s="150"/>
      <c r="O122" s="128"/>
      <c r="P122" s="70"/>
      <c r="AV122" s="410"/>
      <c r="AW122" s="410"/>
      <c r="AX122" s="410"/>
      <c r="AY122" s="410"/>
      <c r="AZ122" s="410"/>
      <c r="BA122" s="410"/>
      <c r="BB122" s="410"/>
      <c r="BC122" s="410"/>
      <c r="BD122" s="410"/>
      <c r="BE122" s="410"/>
      <c r="BF122" s="410"/>
      <c r="BG122" s="410"/>
      <c r="BH122" s="410"/>
      <c r="BI122" s="410"/>
      <c r="BJ122" s="410"/>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8"/>
      <c r="DX122" s="19"/>
    </row>
    <row r="123" spans="1:128">
      <c r="J123" s="33"/>
      <c r="K123" s="25"/>
      <c r="L123" s="20"/>
      <c r="M123" s="189"/>
      <c r="O123" s="77"/>
      <c r="P123" s="70"/>
      <c r="AU123" s="410"/>
      <c r="AV123" s="410"/>
      <c r="AW123" s="410"/>
      <c r="AX123" s="410"/>
      <c r="AY123" s="410"/>
      <c r="AZ123" s="410"/>
      <c r="BA123" s="410"/>
      <c r="BB123" s="410"/>
      <c r="BC123" s="410"/>
      <c r="BD123" s="410"/>
      <c r="BE123" s="410"/>
      <c r="BF123" s="410"/>
      <c r="BG123" s="410"/>
      <c r="BH123" s="410"/>
      <c r="BI123" s="410"/>
      <c r="BJ123" s="410"/>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8"/>
      <c r="DX123" s="19"/>
    </row>
    <row r="124" spans="1:128">
      <c r="J124" s="33"/>
      <c r="K124" s="25"/>
      <c r="L124" s="20"/>
      <c r="M124" s="181"/>
      <c r="N124" s="176"/>
      <c r="O124" s="128"/>
      <c r="P124" s="70"/>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8"/>
      <c r="DX124" s="19"/>
    </row>
    <row r="125" spans="1:128">
      <c r="J125" s="33"/>
      <c r="K125" s="25"/>
      <c r="L125" s="20"/>
      <c r="M125" s="181"/>
      <c r="N125" s="150"/>
      <c r="O125" s="128"/>
      <c r="P125" s="70"/>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8"/>
      <c r="DX125" s="19"/>
    </row>
    <row r="126" spans="1:128">
      <c r="J126" s="33"/>
      <c r="K126" s="33"/>
      <c r="L126" s="20"/>
      <c r="M126" s="190"/>
      <c r="N126" s="148"/>
      <c r="O126" s="128"/>
      <c r="P126" s="129"/>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8"/>
      <c r="DX126" s="19"/>
    </row>
    <row r="127" spans="1:128">
      <c r="J127" s="33"/>
      <c r="K127" s="33"/>
      <c r="L127" s="20"/>
      <c r="M127" s="190"/>
      <c r="N127" s="191"/>
      <c r="O127" s="128"/>
      <c r="P127" s="129"/>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8"/>
      <c r="DX127" s="19"/>
    </row>
    <row r="128" spans="1:128">
      <c r="J128" s="33"/>
      <c r="K128" s="33"/>
      <c r="L128" s="20"/>
      <c r="M128" s="189"/>
      <c r="O128" s="77"/>
      <c r="P128" s="70"/>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8"/>
      <c r="DX128" s="19"/>
    </row>
    <row r="129" spans="1:128">
      <c r="J129" s="33"/>
      <c r="K129" s="33"/>
      <c r="L129" s="20"/>
      <c r="M129" s="181"/>
      <c r="N129" s="150"/>
      <c r="O129" s="128"/>
      <c r="P129" s="70"/>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8"/>
      <c r="DX129" s="19"/>
    </row>
    <row r="130" spans="1:128">
      <c r="J130" s="33"/>
      <c r="K130" s="33"/>
      <c r="L130" s="20"/>
      <c r="M130" s="181"/>
      <c r="N130" s="150"/>
      <c r="O130" s="128"/>
      <c r="P130" s="128"/>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8"/>
      <c r="DX130" s="19"/>
    </row>
    <row r="131" spans="1:128">
      <c r="J131" s="33"/>
      <c r="K131" s="33"/>
      <c r="L131" s="20"/>
      <c r="M131" s="189"/>
      <c r="O131" s="77"/>
      <c r="P131" s="70"/>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8"/>
      <c r="DX131" s="19"/>
    </row>
    <row r="132" spans="1:128">
      <c r="J132" s="33"/>
      <c r="K132" s="33"/>
      <c r="L132" s="20"/>
      <c r="M132" s="181"/>
      <c r="N132" s="150"/>
      <c r="O132" s="128"/>
      <c r="P132" s="70"/>
      <c r="BH132" s="410"/>
      <c r="BI132" s="410"/>
      <c r="BJ132" s="410"/>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8"/>
      <c r="DX132" s="19"/>
    </row>
    <row r="133" spans="1:128">
      <c r="A133" s="64"/>
      <c r="B133" s="132"/>
      <c r="C133" s="105"/>
      <c r="D133" s="105"/>
      <c r="E133" s="105"/>
      <c r="F133" s="105"/>
      <c r="G133" s="105"/>
      <c r="H133" s="185"/>
      <c r="I133" s="192"/>
      <c r="J133" s="33"/>
      <c r="K133" s="33"/>
      <c r="L133" s="20"/>
      <c r="M133" s="181"/>
      <c r="N133" s="150"/>
      <c r="O133" s="128"/>
      <c r="P133" s="70"/>
      <c r="BH133" s="410"/>
      <c r="BI133" s="410"/>
      <c r="BJ133" s="410"/>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8"/>
      <c r="DX133" s="19"/>
    </row>
    <row r="134" spans="1:128">
      <c r="A134" s="64"/>
      <c r="B134" s="132"/>
      <c r="C134" s="105"/>
      <c r="D134" s="105"/>
      <c r="E134" s="51"/>
      <c r="F134" s="105"/>
      <c r="G134" s="105"/>
      <c r="H134" s="105"/>
      <c r="I134" s="120"/>
      <c r="J134" s="33"/>
      <c r="K134" s="33"/>
      <c r="L134" s="20"/>
      <c r="M134" s="193"/>
      <c r="N134" s="27"/>
      <c r="O134" s="128"/>
      <c r="P134" s="70"/>
      <c r="BH134" s="410"/>
      <c r="BI134" s="410"/>
      <c r="BJ134" s="410"/>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8"/>
      <c r="DX134" s="60"/>
    </row>
    <row r="135" spans="1:128" ht="15.75">
      <c r="A135" s="203"/>
      <c r="B135" s="98"/>
      <c r="C135" s="105"/>
      <c r="D135" s="105"/>
      <c r="E135" s="73"/>
      <c r="F135" s="105"/>
      <c r="G135" s="105"/>
      <c r="H135" s="105"/>
      <c r="I135" s="137"/>
      <c r="J135" s="33"/>
      <c r="K135" s="33"/>
      <c r="L135" s="20"/>
      <c r="M135" s="20"/>
      <c r="O135" s="77"/>
      <c r="P135" s="70"/>
      <c r="BH135" s="410"/>
      <c r="BI135" s="410"/>
      <c r="BJ135" s="410"/>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8"/>
      <c r="DX135" s="19"/>
    </row>
    <row r="136" spans="1:128" ht="15.75">
      <c r="A136" s="203"/>
      <c r="B136" s="98"/>
      <c r="C136" s="105"/>
      <c r="D136" s="105"/>
      <c r="E136" s="209"/>
      <c r="F136" s="105"/>
      <c r="G136" s="105"/>
      <c r="H136" s="105"/>
      <c r="I136" s="137"/>
      <c r="J136" s="33"/>
      <c r="K136" s="33"/>
      <c r="L136" s="20"/>
      <c r="M136" s="210"/>
      <c r="N136" s="60"/>
      <c r="O136" s="211"/>
      <c r="P136" s="70"/>
      <c r="BH136" s="410"/>
      <c r="BI136" s="410"/>
      <c r="BJ136" s="410"/>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8"/>
      <c r="DX136" s="19"/>
    </row>
    <row r="137" spans="1:128">
      <c r="A137" s="105"/>
      <c r="B137" s="98"/>
      <c r="C137" s="212"/>
      <c r="D137" s="213"/>
      <c r="E137" s="105"/>
      <c r="F137" s="105"/>
      <c r="G137" s="105"/>
      <c r="H137" s="206"/>
      <c r="I137" s="186"/>
      <c r="J137" s="33"/>
      <c r="K137" s="57"/>
      <c r="L137" s="176"/>
      <c r="M137" s="210"/>
      <c r="N137" s="60"/>
      <c r="O137" s="128"/>
      <c r="P137" s="70"/>
      <c r="BH137" s="410"/>
      <c r="BI137" s="410"/>
      <c r="BJ137" s="410"/>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8"/>
      <c r="DX137" s="19"/>
    </row>
    <row r="138" spans="1:128">
      <c r="A138" s="105"/>
      <c r="B138" s="105"/>
      <c r="C138" s="105"/>
      <c r="D138" s="105"/>
      <c r="E138" s="105"/>
      <c r="F138" s="105"/>
      <c r="G138" s="139"/>
      <c r="H138" s="206"/>
      <c r="I138" s="186"/>
      <c r="J138" s="33"/>
      <c r="K138" s="57"/>
      <c r="L138" s="176"/>
      <c r="M138" s="20"/>
      <c r="O138" s="77"/>
      <c r="P138" s="70"/>
      <c r="BH138" s="410"/>
      <c r="BI138" s="410"/>
      <c r="BJ138" s="410"/>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8"/>
      <c r="DX138" s="19"/>
    </row>
    <row r="139" spans="1:128">
      <c r="A139" s="214"/>
      <c r="B139" s="105"/>
      <c r="C139" s="105"/>
      <c r="D139" s="105"/>
      <c r="E139" s="105"/>
      <c r="F139" s="105"/>
      <c r="G139" s="105"/>
      <c r="H139" s="105"/>
      <c r="I139" s="137"/>
      <c r="J139" s="33"/>
      <c r="K139" s="33"/>
      <c r="L139" s="20"/>
      <c r="M139" s="181"/>
      <c r="N139" s="215"/>
      <c r="O139" s="128"/>
      <c r="P139" s="70"/>
      <c r="BH139" s="410"/>
      <c r="BI139" s="410"/>
      <c r="BJ139" s="410"/>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8"/>
      <c r="DX139" s="19"/>
    </row>
    <row r="140" spans="1:128" ht="15.75">
      <c r="A140" s="203"/>
      <c r="B140" s="98"/>
      <c r="C140" s="105"/>
      <c r="D140" s="105"/>
      <c r="E140" s="105"/>
      <c r="F140" s="139"/>
      <c r="G140" s="105"/>
      <c r="H140" s="139"/>
      <c r="I140" s="120"/>
      <c r="J140" s="33"/>
      <c r="K140" s="33"/>
      <c r="L140" s="20"/>
      <c r="M140" s="181"/>
      <c r="N140" s="150"/>
      <c r="O140" s="128"/>
      <c r="P140" s="70"/>
      <c r="BH140" s="410"/>
      <c r="BI140" s="410"/>
      <c r="BJ140" s="410"/>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8"/>
      <c r="DX140" s="19"/>
    </row>
    <row r="141" spans="1:128" ht="15.75">
      <c r="A141" s="203"/>
      <c r="B141" s="98"/>
      <c r="C141" s="105"/>
      <c r="D141" s="105"/>
      <c r="E141" s="83"/>
      <c r="F141" s="83"/>
      <c r="G141" s="105"/>
      <c r="H141" s="105"/>
      <c r="I141" s="137"/>
      <c r="J141" s="33"/>
      <c r="K141" s="33"/>
      <c r="L141" s="20"/>
      <c r="M141" s="181"/>
      <c r="N141" s="150"/>
      <c r="O141" s="128"/>
      <c r="P141" s="70"/>
      <c r="BH141" s="410"/>
      <c r="BI141" s="410"/>
      <c r="BJ141" s="410"/>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8"/>
      <c r="DX141" s="19"/>
    </row>
    <row r="142" spans="1:128">
      <c r="A142" s="64"/>
      <c r="B142" s="132"/>
      <c r="C142" s="105"/>
      <c r="D142" s="105"/>
      <c r="E142" s="105"/>
      <c r="F142" s="105"/>
      <c r="G142" s="83"/>
      <c r="H142" s="83"/>
      <c r="I142" s="120"/>
      <c r="J142" s="33"/>
      <c r="K142" s="33"/>
      <c r="L142" s="20"/>
      <c r="M142" s="181"/>
      <c r="N142" s="150"/>
      <c r="O142" s="128"/>
      <c r="P142" s="70"/>
      <c r="BH142" s="410"/>
      <c r="BI142" s="410"/>
      <c r="BJ142" s="410"/>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8"/>
      <c r="DX142" s="19"/>
    </row>
    <row r="143" spans="1:128">
      <c r="A143" s="105"/>
      <c r="B143" s="105"/>
      <c r="C143" s="105"/>
      <c r="D143" s="212"/>
      <c r="E143" s="83"/>
      <c r="F143" s="83"/>
      <c r="G143" s="105"/>
      <c r="H143" s="139"/>
      <c r="I143" s="120"/>
      <c r="J143" s="33"/>
      <c r="K143" s="50"/>
      <c r="L143" s="20"/>
      <c r="M143" s="181"/>
      <c r="N143" s="60"/>
      <c r="O143" s="77"/>
      <c r="P143" s="70"/>
      <c r="BH143" s="410"/>
      <c r="BI143" s="410"/>
      <c r="BJ143" s="410"/>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8"/>
      <c r="DX143" s="19"/>
    </row>
    <row r="144" spans="1:128">
      <c r="A144" s="205"/>
      <c r="B144" s="98"/>
      <c r="C144" s="212"/>
      <c r="D144" s="212"/>
      <c r="E144" s="105"/>
      <c r="F144" s="105"/>
      <c r="G144" s="208"/>
      <c r="H144" s="208"/>
      <c r="I144" s="120"/>
      <c r="J144" s="33"/>
      <c r="K144" s="187"/>
      <c r="L144" s="20"/>
      <c r="M144" s="181"/>
      <c r="N144" s="60"/>
      <c r="O144" s="77"/>
      <c r="P144" s="70"/>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8"/>
      <c r="DX144" s="19"/>
    </row>
    <row r="145" spans="1:128">
      <c r="A145" s="64"/>
      <c r="B145" s="98"/>
      <c r="C145" s="97"/>
      <c r="D145" s="212"/>
      <c r="E145" s="208"/>
      <c r="F145" s="208"/>
      <c r="G145" s="208"/>
      <c r="H145" s="206"/>
      <c r="I145" s="186"/>
      <c r="J145" s="33"/>
      <c r="K145" s="57"/>
      <c r="L145" s="20"/>
      <c r="M145" s="181"/>
      <c r="N145" s="53"/>
      <c r="O145" s="128"/>
      <c r="P145" s="2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8"/>
      <c r="DX145" s="126"/>
    </row>
    <row r="146" spans="1:128">
      <c r="A146" s="64"/>
      <c r="B146" s="98"/>
      <c r="C146" s="212"/>
      <c r="D146" s="212"/>
      <c r="E146" s="208"/>
      <c r="F146" s="208"/>
      <c r="G146" s="208"/>
      <c r="H146" s="208"/>
      <c r="I146" s="137"/>
      <c r="J146" s="33"/>
      <c r="K146" s="57"/>
      <c r="L146" s="20"/>
      <c r="M146" s="181"/>
      <c r="N146" s="53"/>
      <c r="O146" s="128"/>
      <c r="P146" s="2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8"/>
      <c r="DX146" s="19"/>
    </row>
    <row r="147" spans="1:128">
      <c r="A147" s="64"/>
      <c r="B147" s="217"/>
      <c r="C147" s="212"/>
      <c r="D147" s="212"/>
      <c r="E147" s="105"/>
      <c r="F147" s="105"/>
      <c r="G147" s="105"/>
      <c r="H147" s="105"/>
      <c r="I147" s="105"/>
      <c r="J147" s="33"/>
      <c r="K147" s="57"/>
      <c r="L147" s="20"/>
      <c r="M147" s="181"/>
      <c r="N147" s="150"/>
      <c r="O147" s="128"/>
      <c r="P147" s="128"/>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8"/>
      <c r="DX147" s="19"/>
    </row>
    <row r="148" spans="1:128">
      <c r="A148" s="64"/>
      <c r="B148" s="98"/>
      <c r="C148" s="184"/>
      <c r="D148" s="212"/>
      <c r="E148" s="105"/>
      <c r="F148" s="105"/>
      <c r="G148" s="105"/>
      <c r="H148" s="105"/>
      <c r="I148" s="105"/>
      <c r="J148" s="33"/>
      <c r="K148" s="33"/>
      <c r="L148" s="20"/>
      <c r="M148" s="181"/>
      <c r="N148" s="150"/>
      <c r="O148" s="128"/>
      <c r="P148" s="70"/>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8"/>
      <c r="DX148" s="19"/>
    </row>
    <row r="149" spans="1:128">
      <c r="A149" s="64"/>
      <c r="B149" s="98"/>
      <c r="C149" s="184"/>
      <c r="D149" s="105"/>
      <c r="E149" s="105"/>
      <c r="F149" s="105"/>
      <c r="G149" s="105"/>
      <c r="H149" s="105"/>
      <c r="I149" s="105"/>
      <c r="J149" s="33"/>
      <c r="K149" s="187"/>
      <c r="L149" s="20"/>
      <c r="M149" s="181"/>
      <c r="N149" s="53"/>
      <c r="O149" s="128"/>
      <c r="P149" s="2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8"/>
      <c r="DX149" s="19"/>
    </row>
    <row r="150" spans="1:128">
      <c r="A150" s="105"/>
      <c r="B150" s="105"/>
      <c r="C150" s="105"/>
      <c r="D150" s="105"/>
      <c r="E150" s="105"/>
      <c r="F150" s="105"/>
      <c r="G150" s="105"/>
      <c r="H150" s="105"/>
      <c r="I150" s="105"/>
      <c r="J150" s="33"/>
      <c r="K150" s="57"/>
      <c r="L150" s="20"/>
      <c r="M150" s="181"/>
      <c r="N150" s="53"/>
      <c r="O150" s="128"/>
      <c r="P150" s="2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8"/>
      <c r="DX150" s="19"/>
    </row>
    <row r="151" spans="1:128">
      <c r="A151" s="55"/>
      <c r="B151" s="55"/>
      <c r="C151" s="55"/>
      <c r="D151" s="55"/>
      <c r="E151" s="55"/>
      <c r="F151" s="55"/>
      <c r="G151" s="55"/>
      <c r="H151" s="55"/>
      <c r="I151" s="55"/>
      <c r="J151" s="33"/>
      <c r="K151" s="57"/>
      <c r="L151" s="20"/>
      <c r="M151" s="57"/>
      <c r="N151" s="53"/>
      <c r="O151" s="128"/>
      <c r="P151" s="216"/>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8"/>
      <c r="DX151" s="100"/>
    </row>
    <row r="152" spans="1:128">
      <c r="A152" s="55"/>
      <c r="B152" s="55"/>
      <c r="C152" s="55"/>
      <c r="D152" s="55"/>
      <c r="E152" s="55"/>
      <c r="F152" s="55"/>
      <c r="G152" s="55"/>
      <c r="H152" s="55"/>
      <c r="I152" s="55"/>
      <c r="J152" s="33"/>
      <c r="K152" s="57"/>
      <c r="L152" s="20"/>
      <c r="M152" s="57"/>
      <c r="N152" s="53"/>
      <c r="O152" s="128"/>
      <c r="P152" s="216"/>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8"/>
      <c r="DX152" s="19"/>
    </row>
    <row r="153" spans="1:128">
      <c r="A153" s="55"/>
      <c r="B153" s="55"/>
      <c r="C153" s="55"/>
      <c r="D153" s="55"/>
      <c r="E153" s="55"/>
      <c r="F153" s="55"/>
      <c r="G153" s="55"/>
      <c r="H153" s="55"/>
      <c r="I153" s="55"/>
      <c r="J153" s="33"/>
      <c r="K153" s="187"/>
      <c r="L153" s="20"/>
      <c r="M153" s="189"/>
      <c r="O153" s="77"/>
      <c r="P153" s="70"/>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8"/>
      <c r="DX153" s="19"/>
    </row>
    <row r="154" spans="1:128">
      <c r="A154" s="55"/>
      <c r="B154" s="55"/>
      <c r="C154" s="55"/>
      <c r="D154" s="55"/>
      <c r="E154" s="55"/>
      <c r="F154" s="55"/>
      <c r="G154" s="55"/>
      <c r="H154" s="55"/>
      <c r="I154" s="55"/>
      <c r="J154" s="33"/>
      <c r="K154" s="33"/>
      <c r="L154" s="20"/>
      <c r="M154" s="189"/>
      <c r="O154" s="77"/>
      <c r="P154" s="70"/>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8"/>
      <c r="DX154" s="19"/>
    </row>
    <row r="155" spans="1:128">
      <c r="A155" s="55"/>
      <c r="B155" s="55"/>
      <c r="C155" s="55"/>
      <c r="D155" s="55"/>
      <c r="E155" s="55"/>
      <c r="F155" s="55"/>
      <c r="G155" s="55"/>
      <c r="H155" s="55"/>
      <c r="I155" s="55"/>
      <c r="J155" s="33"/>
      <c r="K155" s="33"/>
      <c r="L155" s="20"/>
      <c r="M155" s="189"/>
      <c r="O155" s="77"/>
      <c r="P155" s="70"/>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8"/>
      <c r="DX155" s="19"/>
    </row>
    <row r="156" spans="1:128">
      <c r="A156" s="55"/>
      <c r="B156" s="55"/>
      <c r="C156" s="55"/>
      <c r="D156" s="55"/>
      <c r="E156" s="55"/>
      <c r="F156" s="55"/>
      <c r="G156" s="55"/>
      <c r="H156" s="55"/>
      <c r="I156" s="55"/>
      <c r="J156" s="33"/>
      <c r="K156" s="33"/>
      <c r="L156" s="20"/>
      <c r="M156" s="189"/>
      <c r="O156" s="77"/>
      <c r="P156" s="70"/>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8"/>
      <c r="DX156" s="19"/>
    </row>
    <row r="157" spans="1:128">
      <c r="A157" s="55"/>
      <c r="B157" s="55"/>
      <c r="C157" s="55"/>
      <c r="D157" s="55"/>
      <c r="E157" s="55"/>
      <c r="F157" s="55"/>
      <c r="G157" s="55"/>
      <c r="H157" s="55"/>
      <c r="I157" s="55"/>
      <c r="J157" s="33"/>
      <c r="K157" s="33"/>
      <c r="L157" s="20"/>
      <c r="M157" s="189"/>
      <c r="O157" s="77"/>
      <c r="P157" s="70"/>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8"/>
      <c r="DX157" s="19"/>
    </row>
    <row r="158" spans="1:128">
      <c r="A158" s="55"/>
      <c r="B158" s="55"/>
      <c r="C158" s="55"/>
      <c r="D158" s="55"/>
      <c r="E158" s="55"/>
      <c r="F158" s="55"/>
      <c r="G158" s="55"/>
      <c r="H158" s="55"/>
      <c r="I158" s="55"/>
      <c r="J158" s="33"/>
      <c r="K158" s="33"/>
      <c r="L158" s="20"/>
      <c r="M158" s="189"/>
      <c r="O158" s="77"/>
      <c r="P158" s="70"/>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8"/>
      <c r="DX158" s="19"/>
    </row>
    <row r="159" spans="1:128">
      <c r="A159" s="55"/>
      <c r="B159" s="55"/>
      <c r="C159" s="55"/>
      <c r="D159" s="55"/>
      <c r="E159" s="55"/>
      <c r="F159" s="55"/>
      <c r="G159" s="55"/>
      <c r="H159" s="55"/>
      <c r="I159" s="55"/>
      <c r="J159" s="33"/>
      <c r="K159" s="33"/>
      <c r="L159" s="20"/>
      <c r="M159" s="57"/>
      <c r="N159" s="218"/>
      <c r="O159" s="128"/>
      <c r="P159" s="70"/>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8"/>
      <c r="DX159" s="19"/>
    </row>
    <row r="160" spans="1:128">
      <c r="A160" s="55"/>
      <c r="B160" s="55"/>
      <c r="C160" s="55"/>
      <c r="D160" s="55"/>
      <c r="E160" s="55"/>
      <c r="F160" s="55"/>
      <c r="G160" s="55"/>
      <c r="H160" s="55"/>
      <c r="I160" s="55"/>
      <c r="J160" s="33"/>
      <c r="K160" s="33"/>
      <c r="L160" s="20"/>
      <c r="M160" s="57"/>
      <c r="N160" s="218"/>
      <c r="O160" s="128"/>
      <c r="P160" s="70"/>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8"/>
      <c r="DX160" s="19"/>
    </row>
    <row r="161" spans="1:128">
      <c r="A161" s="55"/>
      <c r="B161" s="55"/>
      <c r="C161" s="55"/>
      <c r="D161" s="55"/>
      <c r="E161" s="55"/>
      <c r="F161" s="55"/>
      <c r="G161" s="55"/>
      <c r="H161" s="55"/>
      <c r="I161" s="55"/>
      <c r="J161" s="33"/>
      <c r="K161" s="33"/>
      <c r="L161" s="20"/>
      <c r="M161" s="57"/>
      <c r="N161" s="218"/>
      <c r="O161" s="128"/>
      <c r="P161" s="70"/>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8"/>
      <c r="DX161" s="19"/>
    </row>
    <row r="162" spans="1:128">
      <c r="A162" s="55"/>
      <c r="B162" s="55"/>
      <c r="C162" s="55"/>
      <c r="D162" s="55"/>
      <c r="E162" s="55"/>
      <c r="F162" s="55"/>
      <c r="G162" s="55"/>
      <c r="H162" s="56"/>
      <c r="I162" s="197"/>
      <c r="J162" s="33"/>
      <c r="K162" s="33"/>
      <c r="L162" s="20"/>
      <c r="M162" s="181"/>
      <c r="N162" s="215"/>
      <c r="O162" s="128"/>
      <c r="P162" s="70"/>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8"/>
      <c r="DX162" s="19"/>
    </row>
    <row r="163" spans="1:128">
      <c r="A163" s="55"/>
      <c r="B163" s="55"/>
      <c r="C163" s="55"/>
      <c r="D163" s="55"/>
      <c r="E163" s="55"/>
      <c r="F163" s="55"/>
      <c r="G163" s="55"/>
      <c r="H163" s="56"/>
      <c r="I163" s="198"/>
      <c r="J163" s="33"/>
      <c r="K163" s="33"/>
      <c r="L163" s="20"/>
      <c r="M163" s="190"/>
      <c r="N163" s="215"/>
      <c r="O163" s="77"/>
      <c r="P163" s="129"/>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8"/>
      <c r="DX163" s="19"/>
    </row>
    <row r="164" spans="1:128">
      <c r="A164" s="55"/>
      <c r="B164" s="55"/>
      <c r="C164" s="55"/>
      <c r="D164" s="55"/>
      <c r="E164" s="55"/>
      <c r="F164" s="55"/>
      <c r="G164" s="55"/>
      <c r="H164" s="200"/>
      <c r="I164" s="25"/>
      <c r="J164" s="33"/>
      <c r="K164" s="33"/>
      <c r="L164" s="20"/>
      <c r="M164" s="181"/>
      <c r="N164" s="126"/>
      <c r="O164" s="128"/>
      <c r="P164" s="70"/>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8"/>
      <c r="DX164" s="19"/>
    </row>
    <row r="165" spans="1:128">
      <c r="A165" s="202"/>
      <c r="B165" s="105"/>
      <c r="C165" s="105"/>
      <c r="D165" s="105"/>
      <c r="E165" s="105"/>
      <c r="F165" s="105"/>
      <c r="G165" s="105"/>
      <c r="H165" s="56"/>
      <c r="I165" s="201"/>
      <c r="J165" s="33"/>
      <c r="K165" s="33"/>
      <c r="L165" s="20"/>
      <c r="M165" s="181"/>
      <c r="N165" s="126"/>
      <c r="O165" s="128"/>
      <c r="P165" s="70"/>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8"/>
      <c r="DX165" s="19"/>
    </row>
    <row r="166" spans="1:128" ht="15.75">
      <c r="A166" s="203"/>
      <c r="B166" s="105"/>
      <c r="C166" s="105"/>
      <c r="D166" s="105"/>
      <c r="E166" s="105"/>
      <c r="F166" s="105"/>
      <c r="G166" s="105"/>
      <c r="H166" s="219"/>
      <c r="I166" s="220"/>
      <c r="J166" s="33"/>
      <c r="K166" s="33"/>
      <c r="L166" s="39"/>
      <c r="M166" s="181"/>
      <c r="N166" s="215"/>
      <c r="O166" s="128"/>
      <c r="P166" s="70"/>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8"/>
      <c r="DX166" s="19"/>
    </row>
    <row r="167" spans="1:128" ht="15.75">
      <c r="A167" s="203"/>
      <c r="B167" s="105"/>
      <c r="C167" s="105"/>
      <c r="D167" s="105"/>
      <c r="E167" s="105"/>
      <c r="F167" s="105"/>
      <c r="G167" s="208"/>
      <c r="H167" s="55"/>
      <c r="I167" s="221"/>
      <c r="J167" s="33"/>
      <c r="K167" s="33"/>
      <c r="L167" s="20"/>
      <c r="M167" s="181"/>
      <c r="N167" s="215"/>
      <c r="O167" s="128"/>
      <c r="P167" s="70"/>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8"/>
      <c r="DX167" s="19"/>
    </row>
    <row r="168" spans="1:128">
      <c r="A168" s="105"/>
      <c r="B168" s="105"/>
      <c r="C168" s="105"/>
      <c r="D168" s="105"/>
      <c r="E168" s="105"/>
      <c r="F168" s="105"/>
      <c r="G168" s="208"/>
      <c r="H168" s="139"/>
      <c r="I168" s="83"/>
      <c r="J168" s="33"/>
      <c r="K168" s="33"/>
      <c r="L168" s="222"/>
      <c r="M168" s="181"/>
      <c r="N168" s="215"/>
      <c r="O168" s="128"/>
      <c r="P168" s="70"/>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8"/>
      <c r="DX168" s="19"/>
    </row>
    <row r="169" spans="1:128">
      <c r="A169" s="205"/>
      <c r="B169" s="104"/>
      <c r="C169" s="208"/>
      <c r="D169" s="212"/>
      <c r="E169" s="208"/>
      <c r="F169" s="208"/>
      <c r="G169" s="208"/>
      <c r="H169" s="206"/>
      <c r="I169" s="186"/>
      <c r="J169" s="33"/>
      <c r="K169" s="33"/>
      <c r="L169" s="57"/>
      <c r="M169" s="190"/>
      <c r="N169" s="215"/>
      <c r="O169" s="77"/>
      <c r="P169" s="129"/>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8"/>
      <c r="DX169" s="19"/>
    </row>
    <row r="170" spans="1:128">
      <c r="A170" s="64"/>
      <c r="B170" s="98"/>
      <c r="C170" s="208"/>
      <c r="D170" s="184"/>
      <c r="E170" s="208"/>
      <c r="F170" s="208"/>
      <c r="G170" s="208"/>
      <c r="H170" s="206"/>
      <c r="I170" s="186"/>
      <c r="J170" s="33"/>
      <c r="K170" s="33"/>
      <c r="L170" s="210"/>
      <c r="M170" s="190"/>
      <c r="N170" s="191"/>
      <c r="O170" s="77"/>
      <c r="P170" s="129"/>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8"/>
      <c r="DX170" s="19"/>
    </row>
    <row r="171" spans="1:128">
      <c r="A171" s="64"/>
      <c r="B171" s="98"/>
      <c r="C171" s="208"/>
      <c r="D171" s="184"/>
      <c r="E171" s="208"/>
      <c r="F171" s="208"/>
      <c r="G171" s="208"/>
      <c r="H171" s="105"/>
      <c r="I171" s="207"/>
      <c r="J171" s="33"/>
      <c r="K171" s="33"/>
      <c r="L171" s="181"/>
      <c r="M171" s="190"/>
      <c r="N171" s="215"/>
      <c r="O171" s="77"/>
      <c r="P171" s="100"/>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8"/>
      <c r="DX171" s="19"/>
    </row>
    <row r="172" spans="1:128" ht="16.5">
      <c r="A172" s="203"/>
      <c r="B172" s="132"/>
      <c r="C172" s="204"/>
      <c r="D172" s="105"/>
      <c r="E172" s="208"/>
      <c r="F172" s="208"/>
      <c r="G172" s="208"/>
      <c r="H172" s="208"/>
      <c r="I172" s="207"/>
      <c r="J172" s="33"/>
      <c r="K172" s="33"/>
      <c r="L172" s="187"/>
      <c r="M172" s="181"/>
      <c r="N172" s="148"/>
      <c r="O172" s="128"/>
      <c r="P172" s="70"/>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8"/>
      <c r="DX172" s="19"/>
    </row>
    <row r="173" spans="1:128">
      <c r="A173" s="64"/>
      <c r="B173" s="132"/>
      <c r="C173" s="105"/>
      <c r="D173" s="105"/>
      <c r="E173" s="105"/>
      <c r="F173" s="105"/>
      <c r="G173" s="105"/>
      <c r="H173" s="208"/>
      <c r="I173" s="207"/>
      <c r="J173" s="33"/>
      <c r="K173" s="33"/>
      <c r="L173" s="181"/>
      <c r="M173" s="181"/>
      <c r="N173" s="148"/>
      <c r="O173" s="128"/>
      <c r="P173" s="70"/>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8"/>
      <c r="DX173" s="19"/>
    </row>
    <row r="174" spans="1:128">
      <c r="A174" s="64"/>
      <c r="B174" s="132"/>
      <c r="C174" s="105"/>
      <c r="D174" s="105"/>
      <c r="E174" s="105"/>
      <c r="F174" s="105"/>
      <c r="G174" s="105"/>
      <c r="H174" s="208"/>
      <c r="I174" s="207"/>
      <c r="J174" s="33"/>
      <c r="K174" s="33"/>
      <c r="L174" s="210"/>
      <c r="M174" s="190"/>
      <c r="N174" s="215"/>
      <c r="O174" s="77"/>
      <c r="P174" s="129"/>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8"/>
      <c r="DX174" s="19"/>
    </row>
    <row r="175" spans="1:128" ht="15.75">
      <c r="A175" s="203"/>
      <c r="B175" s="98"/>
      <c r="C175" s="105"/>
      <c r="D175" s="105"/>
      <c r="E175" s="105"/>
      <c r="F175" s="105"/>
      <c r="G175" s="105"/>
      <c r="H175" s="208"/>
      <c r="I175" s="207"/>
      <c r="J175" s="33"/>
      <c r="K175" s="33"/>
      <c r="L175" s="223"/>
      <c r="M175" s="181"/>
      <c r="N175" s="150"/>
      <c r="O175" s="128"/>
      <c r="P175" s="20"/>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8"/>
      <c r="DX175" s="19"/>
    </row>
    <row r="176" spans="1:128" ht="15.75">
      <c r="A176" s="203"/>
      <c r="B176" s="98"/>
      <c r="C176" s="105"/>
      <c r="D176" s="105"/>
      <c r="E176" s="105"/>
      <c r="F176" s="105"/>
      <c r="G176" s="208"/>
      <c r="H176" s="105"/>
      <c r="I176" s="137"/>
      <c r="J176" s="33"/>
      <c r="K176" s="33"/>
      <c r="L176" s="20"/>
      <c r="M176" s="20"/>
      <c r="O176" s="77"/>
      <c r="P176" s="20"/>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8"/>
      <c r="DX176" s="19"/>
    </row>
    <row r="177" spans="1:128">
      <c r="A177" s="105"/>
      <c r="B177" s="105"/>
      <c r="C177" s="105"/>
      <c r="D177" s="105"/>
      <c r="E177" s="105"/>
      <c r="F177" s="105"/>
      <c r="G177" s="208"/>
      <c r="H177" s="206"/>
      <c r="I177" s="186"/>
      <c r="J177" s="33"/>
      <c r="K177" s="33"/>
      <c r="L177" s="20"/>
      <c r="M177" s="189"/>
      <c r="O177" s="77"/>
      <c r="P177" s="224"/>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8"/>
      <c r="DX177" s="19"/>
    </row>
    <row r="178" spans="1:128">
      <c r="A178" s="105"/>
      <c r="B178" s="105"/>
      <c r="C178" s="105"/>
      <c r="D178" s="105"/>
      <c r="E178" s="105"/>
      <c r="F178" s="105"/>
      <c r="G178" s="105"/>
      <c r="H178" s="206"/>
      <c r="I178" s="186"/>
      <c r="J178" s="33"/>
      <c r="K178" s="33"/>
      <c r="L178" s="20"/>
      <c r="M178" s="181"/>
      <c r="N178" s="150"/>
      <c r="O178" s="128"/>
      <c r="P178" s="70"/>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8"/>
      <c r="DX178" s="19"/>
    </row>
    <row r="179" spans="1:128">
      <c r="A179" s="205"/>
      <c r="B179" s="104"/>
      <c r="C179" s="208"/>
      <c r="D179" s="212"/>
      <c r="E179" s="208"/>
      <c r="F179" s="208"/>
      <c r="G179" s="208"/>
      <c r="H179" s="139"/>
      <c r="I179" s="120"/>
      <c r="J179" s="33"/>
      <c r="K179" s="33"/>
      <c r="L179" s="20"/>
      <c r="M179" s="181"/>
      <c r="N179" s="150"/>
      <c r="O179" s="128"/>
      <c r="P179" s="70"/>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8"/>
      <c r="DX179" s="19"/>
    </row>
    <row r="180" spans="1:128">
      <c r="A180" s="64"/>
      <c r="B180" s="98"/>
      <c r="C180" s="208"/>
      <c r="D180" s="184"/>
      <c r="E180" s="208"/>
      <c r="F180" s="208"/>
      <c r="G180" s="208"/>
      <c r="H180" s="105"/>
      <c r="I180" s="137"/>
      <c r="J180" s="33"/>
      <c r="K180" s="33"/>
      <c r="L180" s="20"/>
      <c r="M180" s="181"/>
      <c r="N180" s="150"/>
      <c r="O180" s="128"/>
      <c r="P180" s="70"/>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8"/>
      <c r="DX180" s="19"/>
    </row>
    <row r="181" spans="1:128">
      <c r="A181" s="64"/>
      <c r="B181" s="98"/>
      <c r="C181" s="208"/>
      <c r="D181" s="184"/>
      <c r="E181" s="208"/>
      <c r="F181" s="208"/>
      <c r="G181" s="208"/>
      <c r="H181" s="185"/>
      <c r="I181" s="192"/>
      <c r="J181" s="33"/>
      <c r="K181" s="33"/>
      <c r="L181" s="20"/>
      <c r="M181" s="181"/>
      <c r="N181" s="150"/>
      <c r="O181" s="128"/>
      <c r="P181" s="70"/>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8"/>
      <c r="DX181" s="19"/>
    </row>
    <row r="182" spans="1:128" ht="16.5">
      <c r="A182" s="203"/>
      <c r="B182" s="132"/>
      <c r="C182" s="204"/>
      <c r="D182" s="105"/>
      <c r="E182" s="208"/>
      <c r="F182" s="208"/>
      <c r="G182" s="105"/>
      <c r="H182" s="105"/>
      <c r="I182" s="120"/>
      <c r="J182" s="33"/>
      <c r="K182" s="33"/>
      <c r="L182" s="20"/>
      <c r="M182" s="189"/>
      <c r="O182" s="77"/>
      <c r="P182" s="70"/>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8"/>
      <c r="DX182" s="19"/>
    </row>
    <row r="183" spans="1:128">
      <c r="A183" s="64"/>
      <c r="B183" s="132"/>
      <c r="C183" s="105"/>
      <c r="D183" s="105"/>
      <c r="E183" s="105"/>
      <c r="F183" s="105"/>
      <c r="G183" s="105"/>
      <c r="H183" s="105"/>
      <c r="I183" s="137"/>
      <c r="J183" s="33"/>
      <c r="K183" s="33"/>
      <c r="L183" s="20"/>
      <c r="M183" s="181"/>
      <c r="N183" s="148"/>
      <c r="O183" s="128"/>
      <c r="P183" s="70"/>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8"/>
      <c r="DX183" s="19"/>
    </row>
    <row r="184" spans="1:128">
      <c r="A184" s="64"/>
      <c r="B184" s="132"/>
      <c r="C184" s="105"/>
      <c r="D184" s="105"/>
      <c r="E184" s="105"/>
      <c r="F184" s="105"/>
      <c r="G184" s="105"/>
      <c r="H184" s="105"/>
      <c r="I184" s="137"/>
      <c r="J184" s="33"/>
      <c r="K184" s="33"/>
      <c r="L184" s="20"/>
      <c r="M184" s="181"/>
      <c r="N184" s="150"/>
      <c r="O184" s="128"/>
      <c r="P184" s="70"/>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8"/>
      <c r="DX184" s="19"/>
    </row>
    <row r="185" spans="1:128" ht="15.75">
      <c r="A185" s="203"/>
      <c r="B185" s="98"/>
      <c r="C185" s="105"/>
      <c r="D185" s="105"/>
      <c r="E185" s="105"/>
      <c r="F185" s="105"/>
      <c r="G185" s="105"/>
      <c r="H185" s="206"/>
      <c r="I185" s="186"/>
      <c r="J185" s="33"/>
      <c r="K185" s="33"/>
      <c r="L185" s="20"/>
      <c r="M185" s="181"/>
      <c r="N185" s="150"/>
      <c r="O185" s="128"/>
      <c r="P185" s="70"/>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8"/>
      <c r="DX185" s="19"/>
    </row>
    <row r="186" spans="1:128" ht="15.75">
      <c r="A186" s="203"/>
      <c r="B186" s="98"/>
      <c r="C186" s="105"/>
      <c r="D186" s="105"/>
      <c r="E186" s="105"/>
      <c r="F186" s="105"/>
      <c r="G186" s="105"/>
      <c r="H186" s="206"/>
      <c r="I186" s="186"/>
      <c r="J186" s="33"/>
      <c r="K186" s="33"/>
      <c r="L186" s="20"/>
      <c r="M186" s="20"/>
      <c r="O186" s="77"/>
      <c r="P186" s="70"/>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8"/>
      <c r="DX186" s="19"/>
    </row>
    <row r="187" spans="1:128">
      <c r="A187" s="105"/>
      <c r="B187" s="98"/>
      <c r="C187" s="208"/>
      <c r="D187" s="213"/>
      <c r="E187" s="105"/>
      <c r="F187" s="105"/>
      <c r="G187" s="105"/>
      <c r="H187" s="105"/>
      <c r="I187" s="225"/>
      <c r="J187" s="33"/>
      <c r="K187" s="33"/>
      <c r="L187" s="20"/>
      <c r="M187" s="210"/>
      <c r="N187" s="60"/>
      <c r="O187" s="128"/>
      <c r="P187" s="70"/>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8"/>
      <c r="DX187" s="19"/>
    </row>
    <row r="188" spans="1:128">
      <c r="A188" s="105"/>
      <c r="B188" s="104"/>
      <c r="C188" s="184"/>
      <c r="D188" s="184"/>
      <c r="E188" s="105"/>
      <c r="F188" s="105"/>
      <c r="G188" s="105"/>
      <c r="H188" s="105"/>
      <c r="I188" s="225"/>
      <c r="J188" s="33"/>
      <c r="K188" s="33"/>
      <c r="L188" s="20"/>
      <c r="M188" s="181"/>
      <c r="N188" s="148"/>
      <c r="O188" s="128"/>
      <c r="P188" s="70"/>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8"/>
      <c r="DX188" s="19"/>
    </row>
    <row r="189" spans="1:128">
      <c r="A189" s="214"/>
      <c r="B189" s="105"/>
      <c r="C189" s="105"/>
      <c r="D189" s="105"/>
      <c r="E189" s="105"/>
      <c r="F189" s="105"/>
      <c r="G189" s="105"/>
      <c r="H189" s="105"/>
      <c r="I189" s="137"/>
      <c r="J189" s="33"/>
      <c r="K189" s="33"/>
      <c r="L189" s="20"/>
      <c r="M189" s="181"/>
      <c r="N189" s="150"/>
      <c r="O189" s="128"/>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6"/>
      <c r="DT189" s="16"/>
      <c r="DU189" s="16"/>
      <c r="DV189" s="16"/>
      <c r="DW189" s="18"/>
      <c r="DX189" s="150"/>
    </row>
    <row r="190" spans="1:128" ht="15.75">
      <c r="A190" s="203"/>
      <c r="B190" s="98"/>
      <c r="C190" s="105"/>
      <c r="D190" s="105"/>
      <c r="E190" s="105"/>
      <c r="F190" s="105"/>
      <c r="G190" s="105"/>
      <c r="H190" s="206"/>
      <c r="I190" s="186"/>
      <c r="J190" s="33"/>
      <c r="K190" s="33"/>
      <c r="L190" s="20"/>
      <c r="M190" s="181"/>
      <c r="N190" s="215"/>
      <c r="O190" s="128"/>
      <c r="P190" s="70"/>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8"/>
      <c r="DX190" s="148"/>
    </row>
    <row r="191" spans="1:128" ht="15.75">
      <c r="A191" s="203"/>
      <c r="B191" s="98"/>
      <c r="C191" s="105"/>
      <c r="D191" s="105"/>
      <c r="E191" s="105"/>
      <c r="F191" s="105"/>
      <c r="G191" s="208"/>
      <c r="H191" s="206"/>
      <c r="I191" s="186"/>
      <c r="J191" s="33"/>
      <c r="K191" s="33"/>
      <c r="L191" s="20"/>
      <c r="M191" s="181"/>
      <c r="N191" s="150"/>
      <c r="O191" s="128"/>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8"/>
      <c r="DX191" s="150"/>
    </row>
    <row r="192" spans="1:128">
      <c r="A192" s="105"/>
      <c r="B192" s="104"/>
      <c r="C192" s="212"/>
      <c r="D192" s="184"/>
      <c r="E192" s="208"/>
      <c r="F192" s="105"/>
      <c r="G192" s="105"/>
      <c r="H192" s="64"/>
      <c r="I192" s="226"/>
      <c r="J192" s="33"/>
      <c r="K192" s="33"/>
      <c r="L192" s="20"/>
      <c r="M192" s="181"/>
      <c r="N192" s="150"/>
      <c r="O192" s="128"/>
      <c r="P192" s="70"/>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8"/>
      <c r="DX192" s="19"/>
    </row>
    <row r="193" spans="1:128">
      <c r="A193" s="105"/>
      <c r="B193" s="105"/>
      <c r="C193" s="105"/>
      <c r="D193" s="105"/>
      <c r="E193" s="105"/>
      <c r="F193" s="105"/>
      <c r="G193" s="105"/>
      <c r="H193" s="105"/>
      <c r="I193" s="105"/>
      <c r="J193" s="33"/>
      <c r="K193" s="33"/>
      <c r="L193" s="20"/>
      <c r="M193" s="20"/>
      <c r="O193" s="77"/>
      <c r="P193" s="70"/>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8"/>
      <c r="DX193" s="19"/>
    </row>
    <row r="194" spans="1:128">
      <c r="A194" s="205"/>
      <c r="B194" s="98"/>
      <c r="C194" s="212"/>
      <c r="D194" s="212"/>
      <c r="E194" s="83"/>
      <c r="F194" s="83"/>
      <c r="G194" s="105"/>
      <c r="H194" s="139"/>
      <c r="I194" s="120"/>
      <c r="J194" s="33"/>
      <c r="K194" s="33"/>
      <c r="L194" s="20"/>
      <c r="M194" s="181"/>
      <c r="N194" s="150"/>
      <c r="O194" s="128"/>
      <c r="P194" s="70"/>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8"/>
      <c r="DX194" s="19"/>
    </row>
    <row r="195" spans="1:128">
      <c r="A195" s="64"/>
      <c r="B195" s="98"/>
      <c r="C195" s="97"/>
      <c r="D195" s="212"/>
      <c r="E195" s="105"/>
      <c r="F195" s="105"/>
      <c r="G195" s="105"/>
      <c r="H195" s="105"/>
      <c r="I195" s="137"/>
      <c r="J195" s="33"/>
      <c r="K195" s="33"/>
      <c r="L195" s="20"/>
      <c r="M195" s="181"/>
      <c r="N195" s="148"/>
      <c r="O195" s="128"/>
      <c r="P195" s="70"/>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8"/>
      <c r="DX195" s="19"/>
    </row>
    <row r="196" spans="1:128">
      <c r="A196" s="64"/>
      <c r="B196" s="98"/>
      <c r="C196" s="212"/>
      <c r="D196" s="212"/>
      <c r="E196" s="83"/>
      <c r="F196" s="83"/>
      <c r="G196" s="83"/>
      <c r="H196" s="83"/>
      <c r="I196" s="120"/>
      <c r="J196" s="33"/>
      <c r="K196" s="33"/>
      <c r="L196" s="20"/>
      <c r="M196" s="190"/>
      <c r="N196" s="191"/>
      <c r="O196" s="128"/>
      <c r="P196" s="129"/>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8"/>
      <c r="DX196" s="19"/>
    </row>
    <row r="197" spans="1:128">
      <c r="A197" s="64"/>
      <c r="B197" s="217"/>
      <c r="C197" s="212"/>
      <c r="D197" s="212"/>
      <c r="E197" s="105"/>
      <c r="F197" s="105"/>
      <c r="G197" s="105"/>
      <c r="H197" s="139"/>
      <c r="I197" s="120"/>
      <c r="J197" s="33"/>
      <c r="K197" s="33"/>
      <c r="L197" s="20"/>
      <c r="M197" s="190"/>
      <c r="N197" s="191"/>
      <c r="O197" s="128"/>
      <c r="P197" s="129"/>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8"/>
      <c r="DX197" s="19"/>
    </row>
    <row r="198" spans="1:128">
      <c r="A198" s="64"/>
      <c r="B198" s="98"/>
      <c r="C198" s="184"/>
      <c r="D198" s="212"/>
      <c r="E198" s="208"/>
      <c r="F198" s="208"/>
      <c r="G198" s="208"/>
      <c r="H198" s="208"/>
      <c r="I198" s="120"/>
      <c r="J198" s="33"/>
      <c r="K198" s="33"/>
      <c r="L198" s="20"/>
      <c r="M198" s="20"/>
      <c r="O198" s="77"/>
      <c r="P198" s="70"/>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8"/>
      <c r="DX198" s="19"/>
    </row>
    <row r="199" spans="1:128">
      <c r="A199" s="64"/>
      <c r="B199" s="98"/>
      <c r="C199" s="184"/>
      <c r="D199" s="212"/>
      <c r="E199" s="208"/>
      <c r="F199" s="208"/>
      <c r="G199" s="208"/>
      <c r="H199" s="206"/>
      <c r="I199" s="186"/>
      <c r="J199" s="33"/>
      <c r="K199" s="33"/>
      <c r="L199" s="20"/>
      <c r="M199" s="181"/>
      <c r="N199" s="148"/>
      <c r="O199" s="128"/>
      <c r="P199" s="70"/>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6"/>
      <c r="DT199" s="16"/>
      <c r="DU199" s="16"/>
      <c r="DV199" s="16"/>
      <c r="DW199" s="18"/>
      <c r="DX199" s="19"/>
    </row>
    <row r="200" spans="1:128">
      <c r="A200" s="185"/>
      <c r="B200" s="227"/>
      <c r="C200" s="83"/>
      <c r="D200" s="228"/>
      <c r="E200" s="105"/>
      <c r="F200" s="105"/>
      <c r="G200" s="105"/>
      <c r="H200" s="55"/>
      <c r="I200" s="55"/>
      <c r="J200" s="33"/>
      <c r="K200" s="33"/>
      <c r="L200" s="20"/>
      <c r="M200" s="181"/>
      <c r="N200" s="150"/>
      <c r="O200" s="128"/>
      <c r="P200" s="70"/>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c r="DW200" s="18"/>
      <c r="DX200" s="19"/>
    </row>
    <row r="201" spans="1:128">
      <c r="A201" s="183"/>
      <c r="B201" s="104"/>
      <c r="C201" s="212"/>
      <c r="D201" s="212"/>
      <c r="E201" s="51"/>
      <c r="F201" s="105"/>
      <c r="G201" s="105"/>
      <c r="H201" s="55"/>
      <c r="I201" s="38"/>
      <c r="J201" s="33"/>
      <c r="K201" s="33"/>
      <c r="L201" s="20"/>
      <c r="M201" s="181"/>
      <c r="N201" s="150"/>
      <c r="O201" s="128"/>
      <c r="P201" s="70"/>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8"/>
      <c r="DX201" s="19"/>
    </row>
    <row r="202" spans="1:128">
      <c r="A202" s="219"/>
      <c r="B202" s="44"/>
      <c r="C202" s="110"/>
      <c r="D202" s="229"/>
      <c r="E202" s="189"/>
      <c r="F202" s="55"/>
      <c r="G202" s="55"/>
      <c r="H202" s="55"/>
      <c r="I202" s="38"/>
      <c r="J202" s="33"/>
      <c r="K202" s="33"/>
      <c r="L202" s="20"/>
      <c r="M202" s="33"/>
      <c r="O202" s="77"/>
      <c r="P202" s="70"/>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8"/>
      <c r="DX202" s="19"/>
    </row>
    <row r="203" spans="1:128">
      <c r="A203" s="230"/>
      <c r="B203" s="231"/>
      <c r="C203" s="110"/>
      <c r="D203" s="232"/>
      <c r="E203" s="233"/>
      <c r="F203" s="55"/>
      <c r="G203" s="55"/>
      <c r="H203" s="55"/>
      <c r="I203" s="55"/>
      <c r="J203" s="33"/>
      <c r="K203" s="33"/>
      <c r="L203" s="20"/>
      <c r="M203" s="181"/>
      <c r="N203" s="148"/>
      <c r="O203" s="128"/>
      <c r="P203" s="70"/>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c r="DW203" s="18"/>
      <c r="DX203" s="19"/>
    </row>
    <row r="204" spans="1:128">
      <c r="A204" s="234"/>
      <c r="B204" s="231"/>
      <c r="C204" s="110"/>
      <c r="D204" s="232"/>
      <c r="E204" s="233"/>
      <c r="F204" s="55"/>
      <c r="G204" s="55"/>
      <c r="H204" s="55"/>
      <c r="I204" s="55"/>
      <c r="J204" s="33"/>
      <c r="K204" s="33"/>
      <c r="L204" s="20"/>
      <c r="M204" s="181"/>
      <c r="N204" s="150"/>
      <c r="O204" s="128"/>
      <c r="P204" s="70"/>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8"/>
      <c r="DX204" s="19"/>
    </row>
    <row r="205" spans="1:128">
      <c r="A205" s="67"/>
      <c r="B205" s="231"/>
      <c r="C205" s="55"/>
      <c r="D205" s="110"/>
      <c r="E205" s="55"/>
      <c r="F205" s="55"/>
      <c r="G205" s="55"/>
      <c r="H205" s="55"/>
      <c r="I205" s="55"/>
      <c r="J205" s="33"/>
      <c r="K205" s="33"/>
      <c r="L205" s="20"/>
      <c r="M205" s="181"/>
      <c r="N205" s="148"/>
      <c r="O205" s="128"/>
      <c r="P205" s="70"/>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8"/>
      <c r="DX205" s="19"/>
    </row>
    <row r="206" spans="1:128">
      <c r="A206" s="67"/>
      <c r="B206" s="231"/>
      <c r="C206" s="55"/>
      <c r="D206" s="55"/>
      <c r="E206" s="55"/>
      <c r="F206" s="55"/>
      <c r="G206" s="235"/>
      <c r="H206" s="55"/>
      <c r="I206" s="55"/>
      <c r="J206" s="33"/>
      <c r="K206" s="33"/>
      <c r="L206" s="20"/>
      <c r="M206" s="190"/>
      <c r="N206" s="148"/>
      <c r="O206" s="128"/>
      <c r="P206" s="129"/>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8"/>
      <c r="DX206" s="19"/>
    </row>
    <row r="207" spans="1:128">
      <c r="A207" s="219"/>
      <c r="B207" s="231"/>
      <c r="C207" s="229"/>
      <c r="D207" s="177"/>
      <c r="E207" s="177"/>
      <c r="F207" s="177"/>
      <c r="G207" s="177"/>
      <c r="H207" s="177"/>
      <c r="I207" s="38"/>
      <c r="J207" s="33"/>
      <c r="K207" s="33"/>
      <c r="L207" s="20"/>
      <c r="M207" s="190"/>
      <c r="N207" s="191"/>
      <c r="O207" s="128"/>
      <c r="P207" s="129"/>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16"/>
      <c r="DW207" s="18"/>
      <c r="DX207" s="19"/>
    </row>
    <row r="208" spans="1:128">
      <c r="A208" s="234"/>
      <c r="B208" s="25"/>
      <c r="C208" s="38"/>
      <c r="D208" s="229"/>
      <c r="E208" s="177"/>
      <c r="F208" s="177"/>
      <c r="G208" s="177"/>
      <c r="H208" s="177"/>
      <c r="I208" s="38"/>
      <c r="J208" s="33"/>
      <c r="K208" s="33"/>
      <c r="L208" s="20"/>
      <c r="M208" s="33"/>
      <c r="O208" s="77"/>
      <c r="P208" s="70"/>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8"/>
      <c r="DX208" s="19"/>
    </row>
    <row r="209" spans="1:128">
      <c r="A209" s="38"/>
      <c r="B209" s="55"/>
      <c r="C209" s="38"/>
      <c r="D209" s="229"/>
      <c r="E209" s="177"/>
      <c r="F209" s="177"/>
      <c r="G209" s="177"/>
      <c r="H209" s="55"/>
      <c r="I209" s="177"/>
      <c r="J209" s="33"/>
      <c r="K209" s="33"/>
      <c r="L209" s="20"/>
      <c r="M209" s="181"/>
      <c r="N209" s="150"/>
      <c r="O209" s="128"/>
      <c r="P209" s="70"/>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8"/>
      <c r="DX209" s="19"/>
    </row>
    <row r="210" spans="1:128">
      <c r="A210" s="55"/>
      <c r="B210" s="55"/>
      <c r="C210" s="55"/>
      <c r="D210" s="55"/>
      <c r="E210" s="55"/>
      <c r="F210" s="55"/>
      <c r="G210" s="55"/>
      <c r="H210" s="235"/>
      <c r="I210" s="38"/>
      <c r="J210" s="33"/>
      <c r="K210" s="33"/>
      <c r="L210" s="20"/>
      <c r="M210" s="181"/>
      <c r="N210" s="150"/>
      <c r="O210" s="128"/>
      <c r="P210" s="70"/>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8"/>
      <c r="DX210" s="19"/>
    </row>
    <row r="211" spans="1:128">
      <c r="A211" s="55"/>
      <c r="B211" s="55"/>
      <c r="C211" s="55"/>
      <c r="D211" s="55"/>
      <c r="E211" s="55"/>
      <c r="F211" s="55"/>
      <c r="G211" s="55"/>
      <c r="H211" s="235"/>
      <c r="I211" s="38"/>
      <c r="J211" s="33"/>
      <c r="K211" s="33"/>
      <c r="L211" s="20"/>
      <c r="M211" s="181"/>
      <c r="N211" s="150"/>
      <c r="O211" s="128"/>
      <c r="P211" s="70"/>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8"/>
      <c r="DX211" s="19"/>
    </row>
    <row r="212" spans="1:128">
      <c r="A212" s="55"/>
      <c r="B212" s="55"/>
      <c r="C212" s="55"/>
      <c r="D212" s="55"/>
      <c r="E212" s="55"/>
      <c r="F212" s="55"/>
      <c r="G212" s="55"/>
      <c r="H212" s="235"/>
      <c r="I212" s="38"/>
      <c r="J212" s="33"/>
      <c r="K212" s="33"/>
      <c r="L212" s="20"/>
      <c r="M212" s="181"/>
      <c r="N212" s="150"/>
      <c r="O212" s="128"/>
      <c r="P212" s="70"/>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8"/>
      <c r="DX212" s="19"/>
    </row>
    <row r="213" spans="1:128">
      <c r="A213" s="55"/>
      <c r="B213" s="55"/>
      <c r="C213" s="55"/>
      <c r="D213" s="55"/>
      <c r="E213" s="55"/>
      <c r="F213" s="55"/>
      <c r="G213" s="55"/>
      <c r="H213" s="235"/>
      <c r="I213" s="38"/>
      <c r="J213" s="33"/>
      <c r="K213" s="33"/>
      <c r="L213" s="20"/>
      <c r="M213" s="181"/>
      <c r="N213" s="150"/>
      <c r="O213" s="128"/>
      <c r="P213" s="70"/>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8"/>
      <c r="DX213" s="19"/>
    </row>
    <row r="214" spans="1:128">
      <c r="A214" s="55"/>
      <c r="B214" s="55"/>
      <c r="C214" s="55"/>
      <c r="D214" s="55"/>
      <c r="E214" s="38"/>
      <c r="F214" s="38"/>
      <c r="G214" s="38"/>
      <c r="H214" s="195"/>
      <c r="I214" s="236"/>
      <c r="J214" s="33"/>
      <c r="K214" s="33"/>
      <c r="L214" s="20"/>
      <c r="M214" s="33"/>
      <c r="O214" s="77"/>
      <c r="P214" s="70"/>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8"/>
      <c r="DX214" s="19"/>
    </row>
    <row r="215" spans="1:128">
      <c r="A215" s="55"/>
      <c r="B215" s="55"/>
      <c r="C215" s="55"/>
      <c r="D215" s="55"/>
      <c r="E215" s="55"/>
      <c r="F215" s="55"/>
      <c r="G215" s="55"/>
      <c r="H215" s="195"/>
      <c r="I215" s="197"/>
      <c r="J215" s="33"/>
      <c r="K215" s="33"/>
      <c r="L215" s="20"/>
      <c r="M215" s="181"/>
      <c r="N215" s="126"/>
      <c r="O215" s="128"/>
      <c r="P215" s="70"/>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8"/>
      <c r="DX215" s="19"/>
    </row>
    <row r="216" spans="1:128">
      <c r="A216" s="237"/>
      <c r="B216" s="53"/>
      <c r="C216" s="55"/>
      <c r="D216" s="55"/>
      <c r="E216" s="55"/>
      <c r="F216" s="55"/>
      <c r="G216" s="55"/>
      <c r="H216" s="195"/>
      <c r="I216" s="198"/>
      <c r="J216" s="33"/>
      <c r="K216" s="33"/>
      <c r="L216" s="20"/>
      <c r="M216" s="181"/>
      <c r="N216" s="126"/>
      <c r="O216" s="128"/>
      <c r="P216" s="70"/>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8"/>
      <c r="DX216" s="19"/>
    </row>
    <row r="217" spans="1:128">
      <c r="A217" s="219"/>
      <c r="B217" s="176"/>
      <c r="C217" s="229"/>
      <c r="D217" s="229"/>
      <c r="E217" s="55"/>
      <c r="F217" s="177"/>
      <c r="G217" s="55"/>
      <c r="H217" s="238"/>
      <c r="I217" s="25"/>
      <c r="J217" s="33"/>
      <c r="K217" s="33"/>
      <c r="L217" s="20"/>
      <c r="M217" s="181"/>
      <c r="N217" s="150"/>
      <c r="O217" s="128"/>
      <c r="P217" s="70"/>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8"/>
      <c r="DX217" s="19"/>
    </row>
    <row r="218" spans="1:128">
      <c r="A218" s="234"/>
      <c r="B218" s="53"/>
      <c r="C218" s="110"/>
      <c r="D218" s="229"/>
      <c r="E218" s="55"/>
      <c r="F218" s="177"/>
      <c r="G218" s="55"/>
      <c r="H218" s="195"/>
      <c r="I218" s="25"/>
      <c r="J218" s="33"/>
      <c r="K218" s="33"/>
      <c r="L218" s="20"/>
      <c r="M218" s="181"/>
      <c r="N218" s="150"/>
      <c r="O218" s="128"/>
      <c r="P218" s="70"/>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8"/>
      <c r="DX218" s="19"/>
    </row>
    <row r="219" spans="1:128">
      <c r="A219" s="67"/>
      <c r="B219" s="53"/>
      <c r="C219" s="110"/>
      <c r="D219" s="229"/>
      <c r="E219" s="20"/>
      <c r="F219" s="20"/>
      <c r="G219" s="20"/>
      <c r="H219" s="55"/>
      <c r="I219" s="55"/>
      <c r="J219" s="33"/>
      <c r="K219" s="33"/>
      <c r="L219" s="20"/>
      <c r="M219" s="181"/>
      <c r="N219" s="150"/>
      <c r="O219" s="128"/>
      <c r="P219" s="70"/>
      <c r="CX219" s="16"/>
      <c r="CY219" s="16"/>
      <c r="CZ219" s="16"/>
      <c r="DA219" s="16"/>
      <c r="DB219" s="16"/>
      <c r="DC219" s="16"/>
      <c r="DD219" s="16"/>
      <c r="DE219" s="16"/>
      <c r="DF219" s="16"/>
      <c r="DG219" s="16"/>
      <c r="DH219" s="16"/>
      <c r="DI219" s="16"/>
      <c r="DJ219" s="16"/>
      <c r="DK219" s="16"/>
      <c r="DL219" s="16"/>
      <c r="DM219" s="16"/>
      <c r="DN219" s="16"/>
      <c r="DO219" s="16"/>
      <c r="DP219" s="16"/>
      <c r="DQ219" s="16"/>
      <c r="DR219" s="16"/>
      <c r="DS219" s="16"/>
      <c r="DT219" s="16"/>
      <c r="DU219" s="16"/>
      <c r="DV219" s="16"/>
      <c r="DW219" s="18"/>
      <c r="DX219" s="19"/>
    </row>
    <row r="220" spans="1:128">
      <c r="A220" s="219"/>
      <c r="B220" s="53"/>
      <c r="C220" s="229"/>
      <c r="D220" s="110"/>
      <c r="E220" s="55"/>
      <c r="F220" s="55"/>
      <c r="G220" s="55"/>
      <c r="H220" s="55"/>
      <c r="I220" s="55"/>
      <c r="J220" s="33"/>
      <c r="K220" s="33"/>
      <c r="L220" s="20"/>
      <c r="M220" s="20"/>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8"/>
      <c r="DX220" s="19"/>
    </row>
    <row r="221" spans="1:128">
      <c r="A221" s="219"/>
      <c r="B221" s="53"/>
      <c r="C221" s="110"/>
      <c r="D221" s="110"/>
      <c r="E221" s="20"/>
      <c r="F221" s="20"/>
      <c r="G221" s="55"/>
      <c r="H221" s="239"/>
      <c r="I221" s="55"/>
      <c r="J221" s="33"/>
      <c r="K221" s="33"/>
      <c r="L221" s="20"/>
      <c r="M221" s="20"/>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8"/>
      <c r="DX221" s="19"/>
    </row>
    <row r="222" spans="1:128">
      <c r="A222" s="67"/>
      <c r="B222" s="53"/>
      <c r="C222" s="229"/>
      <c r="D222" s="229"/>
      <c r="E222" s="55"/>
      <c r="F222" s="55"/>
      <c r="G222" s="55"/>
      <c r="H222" s="55"/>
      <c r="I222" s="55"/>
      <c r="J222" s="33"/>
      <c r="K222" s="33"/>
      <c r="L222" s="20"/>
      <c r="M222" s="20"/>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8"/>
      <c r="DX222" s="19"/>
    </row>
    <row r="223" spans="1:128">
      <c r="A223" s="67"/>
      <c r="B223" s="53"/>
      <c r="C223" s="229"/>
      <c r="D223" s="38"/>
      <c r="E223" s="55"/>
      <c r="F223" s="55"/>
      <c r="G223" s="55"/>
      <c r="H223" s="55"/>
      <c r="I223" s="55"/>
      <c r="J223" s="33"/>
      <c r="K223" s="33"/>
      <c r="L223" s="20"/>
      <c r="M223" s="20"/>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8"/>
      <c r="DX223" s="19"/>
    </row>
    <row r="224" spans="1:128">
      <c r="A224" s="234"/>
      <c r="B224" s="177"/>
      <c r="C224" s="110"/>
      <c r="D224" s="110"/>
      <c r="E224" s="55"/>
      <c r="F224" s="55"/>
      <c r="G224" s="55"/>
      <c r="H224" s="239"/>
      <c r="I224" s="55"/>
      <c r="J224" s="33"/>
      <c r="K224" s="33"/>
      <c r="L224" s="20"/>
      <c r="M224" s="20"/>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8"/>
      <c r="DX224" s="19"/>
    </row>
    <row r="225" spans="1:128">
      <c r="A225" s="229"/>
      <c r="B225" s="240"/>
      <c r="C225" s="177"/>
      <c r="D225" s="177"/>
      <c r="E225" s="177"/>
      <c r="F225" s="55"/>
      <c r="G225" s="55"/>
      <c r="H225" s="55"/>
      <c r="I225" s="55"/>
      <c r="J225" s="33"/>
      <c r="K225" s="33"/>
      <c r="L225" s="20"/>
      <c r="M225" s="20"/>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8"/>
      <c r="DX225" s="19"/>
    </row>
    <row r="226" spans="1:128">
      <c r="A226" s="234"/>
      <c r="B226" s="240"/>
      <c r="C226" s="229"/>
      <c r="D226" s="229"/>
      <c r="E226" s="177"/>
      <c r="F226" s="55"/>
      <c r="G226" s="55"/>
      <c r="H226" s="55"/>
      <c r="I226" s="55"/>
      <c r="J226" s="33"/>
      <c r="K226" s="33"/>
      <c r="L226" s="20"/>
      <c r="M226" s="20"/>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8"/>
      <c r="DX226" s="19"/>
    </row>
    <row r="227" spans="1:128">
      <c r="A227" s="234"/>
      <c r="B227" s="240"/>
      <c r="C227" s="229"/>
      <c r="D227" s="229"/>
      <c r="E227" s="177"/>
      <c r="F227" s="55"/>
      <c r="G227" s="55"/>
      <c r="H227" s="55"/>
      <c r="I227" s="55"/>
      <c r="J227" s="33"/>
      <c r="K227" s="33"/>
      <c r="L227" s="20"/>
      <c r="M227" s="20"/>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8"/>
      <c r="DX227" s="19"/>
    </row>
    <row r="228" spans="1:128">
      <c r="A228" s="234"/>
      <c r="B228" s="240"/>
      <c r="C228" s="229"/>
      <c r="D228" s="229"/>
      <c r="E228" s="177"/>
      <c r="F228" s="177"/>
      <c r="G228" s="55"/>
      <c r="H228" s="55"/>
      <c r="I228" s="177"/>
      <c r="J228" s="33"/>
      <c r="K228" s="33"/>
      <c r="L228" s="20"/>
      <c r="M228" s="20"/>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8"/>
      <c r="DX228" s="19"/>
    </row>
    <row r="229" spans="1:128">
      <c r="A229" s="219"/>
      <c r="B229" s="240"/>
      <c r="C229" s="229"/>
      <c r="D229" s="229"/>
      <c r="E229" s="177"/>
      <c r="F229" s="177"/>
      <c r="G229" s="55"/>
      <c r="H229" s="38"/>
      <c r="I229" s="177"/>
      <c r="J229" s="33"/>
      <c r="K229" s="33"/>
      <c r="L229" s="20"/>
      <c r="M229" s="20"/>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8"/>
      <c r="DX229" s="19"/>
    </row>
    <row r="230" spans="1:128">
      <c r="A230" s="241"/>
      <c r="B230" s="240"/>
      <c r="C230" s="177"/>
      <c r="D230" s="232"/>
      <c r="E230" s="177"/>
      <c r="F230" s="177"/>
      <c r="G230" s="55"/>
      <c r="H230" s="38"/>
      <c r="I230" s="55"/>
      <c r="J230" s="33"/>
      <c r="K230" s="33"/>
      <c r="L230" s="20"/>
      <c r="M230" s="20"/>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8"/>
      <c r="DX230" s="19"/>
    </row>
    <row r="231" spans="1:128">
      <c r="A231" s="219"/>
      <c r="B231" s="240"/>
      <c r="C231" s="229"/>
      <c r="D231" s="229"/>
      <c r="E231" s="177"/>
      <c r="F231" s="177"/>
      <c r="G231" s="55"/>
      <c r="H231" s="55"/>
      <c r="I231" s="55"/>
      <c r="J231" s="33"/>
      <c r="K231" s="33"/>
      <c r="L231" s="20"/>
      <c r="M231" s="20"/>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8"/>
      <c r="DX231" s="19"/>
    </row>
    <row r="232" spans="1:128">
      <c r="A232" s="241"/>
      <c r="B232" s="44"/>
      <c r="C232" s="177"/>
      <c r="D232" s="232"/>
      <c r="E232" s="177"/>
      <c r="F232" s="177"/>
      <c r="G232" s="55"/>
      <c r="H232" s="177"/>
      <c r="I232" s="177"/>
      <c r="J232" s="33"/>
      <c r="K232" s="33"/>
      <c r="L232" s="20"/>
      <c r="M232" s="20"/>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8"/>
      <c r="DX232" s="19"/>
    </row>
    <row r="233" spans="1:128">
      <c r="A233" s="241"/>
      <c r="B233" s="240"/>
      <c r="C233" s="177"/>
      <c r="D233" s="232"/>
      <c r="E233" s="177"/>
      <c r="F233" s="177"/>
      <c r="G233" s="177"/>
      <c r="H233" s="177"/>
      <c r="I233" s="177"/>
      <c r="J233" s="33"/>
      <c r="K233" s="33"/>
      <c r="L233" s="20"/>
      <c r="M233" s="20"/>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8"/>
      <c r="DX233" s="19"/>
    </row>
    <row r="234" spans="1:128">
      <c r="A234" s="241"/>
      <c r="B234" s="44"/>
      <c r="C234" s="177"/>
      <c r="D234" s="110"/>
      <c r="E234" s="177"/>
      <c r="F234" s="177"/>
      <c r="G234" s="177"/>
      <c r="H234" s="177"/>
      <c r="I234" s="177"/>
      <c r="J234" s="33"/>
      <c r="K234" s="33"/>
      <c r="L234" s="20"/>
      <c r="M234" s="20"/>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8"/>
      <c r="DX234" s="19"/>
    </row>
    <row r="235" spans="1:128">
      <c r="A235" s="219"/>
      <c r="B235" s="44"/>
      <c r="C235" s="229"/>
      <c r="D235" s="229"/>
      <c r="E235" s="177"/>
      <c r="F235" s="177"/>
      <c r="G235" s="177"/>
      <c r="H235" s="239"/>
      <c r="I235" s="177"/>
      <c r="J235" s="33"/>
      <c r="K235" s="33"/>
      <c r="L235" s="20"/>
      <c r="M235" s="20"/>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8"/>
      <c r="DX235" s="19"/>
    </row>
    <row r="236" spans="1:128">
      <c r="A236" s="219"/>
      <c r="B236" s="240"/>
      <c r="C236" s="229"/>
      <c r="D236" s="177"/>
      <c r="E236" s="177"/>
      <c r="F236" s="177"/>
      <c r="G236" s="177"/>
      <c r="H236" s="177"/>
      <c r="I236" s="177"/>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8"/>
      <c r="DX236" s="19"/>
    </row>
    <row r="237" spans="1:128">
      <c r="A237" s="241"/>
      <c r="B237" s="53"/>
      <c r="C237" s="177"/>
      <c r="D237" s="175"/>
      <c r="E237" s="177"/>
      <c r="F237" s="177"/>
      <c r="G237" s="177"/>
      <c r="H237" s="38"/>
      <c r="I237" s="177"/>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16"/>
      <c r="DW237" s="18"/>
      <c r="DX237" s="19"/>
    </row>
    <row r="238" spans="1:128">
      <c r="A238" s="219"/>
      <c r="B238" s="177"/>
      <c r="C238" s="229"/>
      <c r="D238" s="177"/>
      <c r="E238" s="177"/>
      <c r="F238" s="177"/>
      <c r="G238" s="177"/>
      <c r="H238" s="38"/>
      <c r="I238" s="177"/>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8"/>
      <c r="DX238" s="19"/>
    </row>
    <row r="239" spans="1:128">
      <c r="A239" s="177"/>
      <c r="B239" s="38"/>
      <c r="C239" s="177"/>
      <c r="D239" s="177"/>
      <c r="E239" s="177"/>
      <c r="F239" s="177"/>
      <c r="G239" s="177"/>
      <c r="H239" s="239"/>
      <c r="I239" s="177"/>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6"/>
      <c r="DT239" s="16"/>
      <c r="DU239" s="16"/>
      <c r="DV239" s="16"/>
      <c r="DW239" s="18"/>
      <c r="DX239" s="19"/>
    </row>
    <row r="240" spans="1:128">
      <c r="A240" s="110"/>
      <c r="B240" s="53"/>
      <c r="C240" s="38"/>
      <c r="D240" s="55"/>
      <c r="E240" s="55"/>
      <c r="F240" s="55"/>
      <c r="G240" s="55"/>
      <c r="H240" s="38"/>
      <c r="I240" s="177"/>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DW240" s="18"/>
      <c r="DX240" s="19"/>
    </row>
    <row r="241" spans="1:128">
      <c r="A241" s="234"/>
      <c r="B241" s="53"/>
      <c r="C241" s="110"/>
      <c r="D241" s="110"/>
      <c r="E241" s="55"/>
      <c r="F241" s="55"/>
      <c r="G241" s="55"/>
      <c r="H241" s="38"/>
      <c r="I241" s="55"/>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16"/>
      <c r="DW241" s="18"/>
      <c r="DX241" s="19"/>
    </row>
    <row r="242" spans="1:128">
      <c r="A242" s="234"/>
      <c r="B242" s="53"/>
      <c r="C242" s="110"/>
      <c r="D242" s="110"/>
      <c r="E242" s="55"/>
      <c r="F242" s="55"/>
      <c r="G242" s="55"/>
      <c r="H242" s="55"/>
      <c r="I242" s="55"/>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6"/>
      <c r="DT242" s="16"/>
      <c r="DU242" s="16"/>
      <c r="DV242" s="16"/>
      <c r="DW242" s="18"/>
      <c r="DX242" s="19"/>
    </row>
    <row r="243" spans="1:128">
      <c r="A243" s="234"/>
      <c r="B243" s="53"/>
      <c r="C243" s="110"/>
      <c r="D243" s="110"/>
      <c r="E243" s="55"/>
      <c r="F243" s="55"/>
      <c r="G243" s="55"/>
      <c r="H243" s="55"/>
      <c r="I243" s="55"/>
      <c r="CX243" s="16"/>
      <c r="CY243" s="16"/>
      <c r="CZ243" s="16"/>
      <c r="DA243" s="16"/>
      <c r="DB243" s="16"/>
      <c r="DC243" s="16"/>
      <c r="DD243" s="16"/>
      <c r="DE243" s="16"/>
      <c r="DF243" s="16"/>
      <c r="DG243" s="16"/>
      <c r="DH243" s="16"/>
      <c r="DI243" s="16"/>
      <c r="DJ243" s="16"/>
      <c r="DK243" s="16"/>
      <c r="DL243" s="16"/>
      <c r="DM243" s="16"/>
      <c r="DN243" s="16"/>
      <c r="DO243" s="16"/>
      <c r="DP243" s="16"/>
      <c r="DQ243" s="16"/>
      <c r="DR243" s="16"/>
      <c r="DS243" s="16"/>
      <c r="DT243" s="16"/>
      <c r="DU243" s="16"/>
      <c r="DV243" s="16"/>
      <c r="DW243" s="18"/>
      <c r="DX243" s="19"/>
    </row>
    <row r="244" spans="1:128">
      <c r="A244" s="234"/>
      <c r="B244" s="38"/>
      <c r="C244" s="110"/>
      <c r="D244" s="110"/>
      <c r="E244" s="38"/>
      <c r="F244" s="38"/>
      <c r="G244" s="55"/>
      <c r="H244" s="55"/>
      <c r="I244" s="55"/>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8"/>
      <c r="DX244" s="19"/>
    </row>
    <row r="245" spans="1:128">
      <c r="A245" s="110"/>
      <c r="B245" s="242"/>
      <c r="C245" s="38"/>
      <c r="D245" s="38"/>
      <c r="E245" s="38"/>
      <c r="F245" s="38"/>
      <c r="G245" s="55"/>
      <c r="H245" s="239"/>
      <c r="I245" s="55"/>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16"/>
      <c r="DW245" s="18"/>
      <c r="DX245" s="19"/>
    </row>
    <row r="246" spans="1:128">
      <c r="A246" s="234"/>
      <c r="B246" s="176"/>
      <c r="C246" s="110"/>
      <c r="D246" s="110"/>
      <c r="E246" s="38"/>
      <c r="F246" s="38"/>
      <c r="G246" s="38"/>
      <c r="H246" s="38"/>
      <c r="I246" s="55"/>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8"/>
      <c r="DX246" s="19"/>
    </row>
    <row r="247" spans="1:128">
      <c r="A247" s="234"/>
      <c r="B247" s="176"/>
      <c r="C247" s="110"/>
      <c r="D247" s="110"/>
      <c r="E247" s="38"/>
      <c r="F247" s="38"/>
      <c r="G247" s="38"/>
      <c r="H247" s="55"/>
      <c r="I247" s="55"/>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16"/>
      <c r="DW247" s="18"/>
      <c r="DX247" s="19"/>
    </row>
    <row r="248" spans="1:128">
      <c r="A248" s="234"/>
      <c r="B248" s="20"/>
      <c r="C248" s="229"/>
      <c r="D248" s="110"/>
      <c r="E248" s="38"/>
      <c r="F248" s="38"/>
      <c r="G248" s="55"/>
      <c r="H248" s="239"/>
      <c r="I248" s="55"/>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16"/>
      <c r="DW248" s="18"/>
      <c r="DX248" s="19"/>
    </row>
    <row r="249" spans="1:128">
      <c r="A249" s="38"/>
      <c r="B249" s="176"/>
      <c r="C249" s="177"/>
      <c r="D249" s="229"/>
      <c r="E249" s="177"/>
      <c r="F249" s="177"/>
      <c r="G249" s="177"/>
      <c r="H249" s="55"/>
      <c r="I249" s="55"/>
      <c r="CX249" s="16"/>
      <c r="CY249" s="16"/>
      <c r="CZ249" s="16"/>
      <c r="DA249" s="16"/>
      <c r="DB249" s="16"/>
      <c r="DC249" s="16"/>
      <c r="DD249" s="16"/>
      <c r="DE249" s="16"/>
      <c r="DF249" s="16"/>
      <c r="DG249" s="16"/>
      <c r="DH249" s="16"/>
      <c r="DI249" s="16"/>
      <c r="DJ249" s="16"/>
      <c r="DK249" s="16"/>
      <c r="DL249" s="16"/>
      <c r="DM249" s="16"/>
      <c r="DN249" s="16"/>
      <c r="DO249" s="16"/>
      <c r="DP249" s="16"/>
      <c r="DQ249" s="16"/>
      <c r="DR249" s="16"/>
      <c r="DS249" s="16"/>
      <c r="DT249" s="16"/>
      <c r="DU249" s="16"/>
      <c r="DV249" s="16"/>
      <c r="DW249" s="18"/>
      <c r="DX249" s="19"/>
    </row>
    <row r="250" spans="1:128">
      <c r="A250" s="243"/>
      <c r="B250" s="242"/>
      <c r="C250" s="110"/>
      <c r="D250" s="110"/>
      <c r="E250" s="177"/>
      <c r="F250" s="177"/>
      <c r="G250" s="177"/>
      <c r="H250" s="55"/>
      <c r="I250" s="55"/>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6"/>
      <c r="DT250" s="16"/>
      <c r="DU250" s="16"/>
      <c r="DV250" s="16"/>
      <c r="DW250" s="18"/>
      <c r="DX250" s="19"/>
    </row>
    <row r="251" spans="1:128">
      <c r="A251" s="234"/>
      <c r="B251" s="176"/>
      <c r="C251" s="229"/>
      <c r="D251" s="110"/>
      <c r="E251" s="38"/>
      <c r="F251" s="38"/>
      <c r="G251" s="38"/>
      <c r="H251" s="55"/>
      <c r="I251" s="55"/>
      <c r="CX251" s="16"/>
      <c r="CY251" s="16"/>
      <c r="CZ251" s="16"/>
      <c r="DA251" s="16"/>
      <c r="DB251" s="16"/>
      <c r="DC251" s="16"/>
      <c r="DD251" s="16"/>
      <c r="DE251" s="16"/>
      <c r="DF251" s="16"/>
      <c r="DG251" s="16"/>
      <c r="DH251" s="16"/>
      <c r="DI251" s="16"/>
      <c r="DJ251" s="16"/>
      <c r="DK251" s="16"/>
      <c r="DL251" s="16"/>
      <c r="DM251" s="16"/>
      <c r="DN251" s="16"/>
      <c r="DO251" s="16"/>
      <c r="DP251" s="16"/>
      <c r="DQ251" s="16"/>
      <c r="DR251" s="16"/>
      <c r="DS251" s="16"/>
      <c r="DT251" s="16"/>
      <c r="DU251" s="16"/>
      <c r="DV251" s="16"/>
      <c r="DW251" s="18"/>
      <c r="DX251" s="19"/>
    </row>
    <row r="252" spans="1:128">
      <c r="A252" s="234"/>
      <c r="B252" s="244"/>
      <c r="C252" s="229"/>
      <c r="D252" s="110"/>
      <c r="E252" s="38"/>
      <c r="F252" s="38"/>
      <c r="G252" s="38"/>
      <c r="H252" s="55"/>
      <c r="I252" s="55"/>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6"/>
      <c r="DT252" s="16"/>
      <c r="DU252" s="16"/>
      <c r="DV252" s="16"/>
      <c r="DW252" s="18"/>
      <c r="DX252" s="19"/>
    </row>
    <row r="253" spans="1:128">
      <c r="A253" s="234"/>
      <c r="B253" s="176"/>
      <c r="C253" s="229"/>
      <c r="D253" s="110"/>
      <c r="E253" s="38"/>
      <c r="F253" s="38"/>
      <c r="G253" s="38"/>
      <c r="H253" s="55"/>
      <c r="I253" s="55"/>
      <c r="CX253" s="16"/>
      <c r="CY253" s="16"/>
      <c r="CZ253" s="16"/>
      <c r="DA253" s="16"/>
      <c r="DB253" s="16"/>
      <c r="DC253" s="16"/>
      <c r="DD253" s="16"/>
      <c r="DE253" s="16"/>
      <c r="DF253" s="16"/>
      <c r="DG253" s="16"/>
      <c r="DH253" s="16"/>
      <c r="DI253" s="16"/>
      <c r="DJ253" s="16"/>
      <c r="DK253" s="16"/>
      <c r="DL253" s="16"/>
      <c r="DM253" s="16"/>
      <c r="DN253" s="16"/>
      <c r="DO253" s="16"/>
      <c r="DP253" s="16"/>
      <c r="DQ253" s="16"/>
      <c r="DR253" s="16"/>
      <c r="DS253" s="16"/>
      <c r="DT253" s="16"/>
      <c r="DU253" s="16"/>
      <c r="DV253" s="16"/>
      <c r="DW253" s="18"/>
      <c r="DX253" s="19"/>
    </row>
    <row r="254" spans="1:128">
      <c r="A254" s="234"/>
      <c r="B254" s="176"/>
      <c r="C254" s="229"/>
      <c r="D254" s="110"/>
      <c r="E254" s="38"/>
      <c r="F254" s="38"/>
      <c r="G254" s="38"/>
      <c r="H254" s="55"/>
      <c r="I254" s="55"/>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8"/>
      <c r="DX254" s="19"/>
    </row>
    <row r="255" spans="1:128">
      <c r="A255" s="234"/>
      <c r="B255" s="177"/>
      <c r="C255" s="229"/>
      <c r="D255" s="110"/>
      <c r="E255" s="38"/>
      <c r="F255" s="38"/>
      <c r="G255" s="55"/>
      <c r="H255" s="239"/>
      <c r="I255" s="38"/>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6"/>
      <c r="DT255" s="16"/>
      <c r="DU255" s="16"/>
      <c r="DV255" s="16"/>
      <c r="DW255" s="18"/>
      <c r="DX255" s="19"/>
    </row>
    <row r="256" spans="1:128">
      <c r="A256" s="177"/>
      <c r="B256" s="53"/>
      <c r="C256" s="177"/>
      <c r="D256" s="229"/>
      <c r="E256" s="177"/>
      <c r="F256" s="177"/>
      <c r="G256" s="177"/>
      <c r="H256" s="177"/>
      <c r="I256" s="38"/>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8"/>
      <c r="DX256" s="19"/>
    </row>
    <row r="257" spans="1:128">
      <c r="A257" s="219"/>
      <c r="B257" s="44"/>
      <c r="C257" s="229"/>
      <c r="D257" s="110"/>
      <c r="E257" s="177"/>
      <c r="F257" s="177"/>
      <c r="G257" s="177"/>
      <c r="H257" s="177"/>
      <c r="I257" s="55"/>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16"/>
      <c r="DW257" s="18"/>
      <c r="DX257" s="19"/>
    </row>
    <row r="258" spans="1:128">
      <c r="A258" s="219"/>
      <c r="B258" s="44"/>
      <c r="C258" s="229"/>
      <c r="D258" s="229"/>
      <c r="E258" s="177"/>
      <c r="F258" s="177"/>
      <c r="G258" s="177"/>
      <c r="H258" s="177"/>
      <c r="I258" s="177"/>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8"/>
      <c r="DX258" s="19"/>
    </row>
    <row r="259" spans="1:128">
      <c r="A259" s="241"/>
      <c r="B259" s="44"/>
      <c r="C259" s="229"/>
      <c r="D259" s="232"/>
      <c r="E259" s="55"/>
      <c r="F259" s="55"/>
      <c r="G259" s="55"/>
      <c r="H259" s="235"/>
      <c r="I259" s="38"/>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16"/>
      <c r="DW259" s="18"/>
      <c r="DX259" s="19"/>
    </row>
    <row r="260" spans="1:128">
      <c r="A260" s="241"/>
      <c r="B260" s="55"/>
      <c r="C260" s="229"/>
      <c r="D260" s="232"/>
      <c r="E260" s="55"/>
      <c r="F260" s="55"/>
      <c r="G260" s="55"/>
      <c r="H260" s="55"/>
      <c r="I260" s="55"/>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8"/>
      <c r="DX260" s="19"/>
    </row>
    <row r="261" spans="1:128">
      <c r="A261" s="55"/>
      <c r="B261" s="55"/>
      <c r="C261" s="55"/>
      <c r="D261" s="55"/>
      <c r="E261" s="55"/>
      <c r="F261" s="55"/>
      <c r="G261" s="235"/>
      <c r="H261" s="55"/>
      <c r="I261" s="55"/>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6"/>
      <c r="DT261" s="16"/>
      <c r="DU261" s="16"/>
      <c r="DV261" s="16"/>
      <c r="DW261" s="18"/>
      <c r="DX261" s="19"/>
    </row>
    <row r="262" spans="1:128">
      <c r="A262" s="55"/>
      <c r="B262" s="55"/>
      <c r="C262" s="55"/>
      <c r="D262" s="55"/>
      <c r="E262" s="38"/>
      <c r="F262" s="235"/>
      <c r="G262" s="55"/>
      <c r="H262" s="55"/>
      <c r="I262" s="55"/>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8"/>
      <c r="DX262" s="19"/>
    </row>
    <row r="263" spans="1:128">
      <c r="A263" s="55"/>
      <c r="B263" s="55"/>
      <c r="C263" s="55"/>
      <c r="D263" s="55"/>
      <c r="E263" s="38"/>
      <c r="F263" s="38"/>
      <c r="G263" s="55"/>
      <c r="H263" s="55"/>
      <c r="I263" s="55"/>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8"/>
      <c r="DX263" s="19"/>
    </row>
    <row r="264" spans="1:128">
      <c r="A264" s="55"/>
      <c r="B264" s="55"/>
      <c r="C264" s="55"/>
      <c r="D264" s="55"/>
      <c r="E264" s="55"/>
      <c r="F264" s="55"/>
      <c r="G264" s="55"/>
      <c r="H264" s="55"/>
      <c r="I264" s="23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16"/>
      <c r="DW264" s="18"/>
      <c r="DX264" s="19"/>
    </row>
    <row r="265" spans="1:128">
      <c r="A265" s="55"/>
      <c r="B265" s="55"/>
      <c r="C265" s="55"/>
      <c r="D265" s="55"/>
      <c r="E265" s="55"/>
      <c r="F265" s="55"/>
      <c r="G265" s="55"/>
      <c r="H265" s="195"/>
      <c r="I265" s="197"/>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16"/>
      <c r="DW265" s="18"/>
      <c r="DX265" s="19"/>
    </row>
    <row r="266" spans="1:128">
      <c r="A266" s="237"/>
      <c r="B266" s="20"/>
      <c r="C266" s="55"/>
      <c r="D266" s="55"/>
      <c r="E266" s="38"/>
      <c r="F266" s="38"/>
      <c r="G266" s="38"/>
      <c r="H266" s="195"/>
      <c r="I266" s="198"/>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8"/>
      <c r="DX266" s="19"/>
    </row>
    <row r="267" spans="1:128">
      <c r="A267" s="38"/>
      <c r="B267" s="242"/>
      <c r="C267" s="38"/>
      <c r="D267" s="110"/>
      <c r="E267" s="55"/>
      <c r="F267" s="20"/>
      <c r="G267" s="55"/>
      <c r="H267" s="238"/>
      <c r="I267" s="25"/>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8"/>
      <c r="DX267" s="19"/>
    </row>
    <row r="268" spans="1:128">
      <c r="A268" s="234"/>
      <c r="B268" s="176"/>
      <c r="C268" s="229"/>
      <c r="D268" s="110"/>
      <c r="E268" s="55"/>
      <c r="F268" s="20"/>
      <c r="G268" s="38"/>
      <c r="H268" s="195"/>
      <c r="I268" s="25"/>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8"/>
      <c r="DX268" s="19"/>
    </row>
    <row r="269" spans="1:128">
      <c r="A269" s="234"/>
      <c r="B269" s="176"/>
      <c r="C269" s="229"/>
      <c r="D269" s="110"/>
      <c r="E269" s="55"/>
      <c r="F269" s="20"/>
      <c r="G269" s="55"/>
      <c r="H269" s="55"/>
      <c r="I269" s="55"/>
      <c r="CX269" s="16"/>
      <c r="CY269" s="16"/>
      <c r="CZ269" s="16"/>
      <c r="DA269" s="16"/>
      <c r="DB269" s="16"/>
      <c r="DC269" s="16"/>
      <c r="DD269" s="16"/>
      <c r="DE269" s="16"/>
      <c r="DF269" s="16"/>
      <c r="DG269" s="16"/>
      <c r="DH269" s="16"/>
      <c r="DI269" s="16"/>
      <c r="DJ269" s="16"/>
      <c r="DK269" s="16"/>
      <c r="DL269" s="16"/>
      <c r="DM269" s="16"/>
      <c r="DN269" s="16"/>
      <c r="DO269" s="16"/>
      <c r="DP269" s="16"/>
      <c r="DQ269" s="16"/>
      <c r="DR269" s="16"/>
      <c r="DS269" s="16"/>
      <c r="DT269" s="16"/>
      <c r="DU269" s="16"/>
      <c r="DV269" s="16"/>
      <c r="DW269" s="18"/>
      <c r="DX269" s="19"/>
    </row>
    <row r="270" spans="1:128">
      <c r="A270" s="234"/>
      <c r="B270" s="55"/>
      <c r="C270" s="229"/>
      <c r="D270" s="110"/>
      <c r="E270" s="55"/>
      <c r="F270" s="55"/>
      <c r="G270" s="55"/>
      <c r="H270" s="239"/>
      <c r="I270" s="38"/>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8"/>
      <c r="DX270" s="19"/>
    </row>
    <row r="271" spans="1:128">
      <c r="A271" s="55"/>
      <c r="B271" s="177"/>
      <c r="C271" s="55"/>
      <c r="D271" s="55"/>
      <c r="E271" s="55"/>
      <c r="F271" s="55"/>
      <c r="G271" s="55"/>
      <c r="H271" s="55"/>
      <c r="I271" s="55"/>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8"/>
      <c r="DX271" s="19"/>
    </row>
    <row r="272" spans="1:128">
      <c r="A272" s="38"/>
      <c r="B272" s="44"/>
      <c r="C272" s="177"/>
      <c r="D272" s="229"/>
      <c r="E272" s="55"/>
      <c r="F272" s="55"/>
      <c r="G272" s="55"/>
      <c r="H272" s="55"/>
      <c r="I272" s="55"/>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8"/>
      <c r="DX272" s="19"/>
    </row>
    <row r="273" spans="1:128">
      <c r="A273" s="67"/>
      <c r="B273" s="53"/>
      <c r="C273" s="229"/>
      <c r="D273" s="229"/>
      <c r="E273" s="55"/>
      <c r="F273" s="55"/>
      <c r="G273" s="55"/>
      <c r="H273" s="55"/>
      <c r="I273" s="55"/>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8"/>
      <c r="DX273" s="19"/>
    </row>
    <row r="274" spans="1:128">
      <c r="A274" s="219"/>
      <c r="B274" s="44"/>
      <c r="C274" s="229"/>
      <c r="D274" s="229"/>
      <c r="E274" s="55"/>
      <c r="F274" s="55"/>
      <c r="G274" s="55"/>
      <c r="H274" s="55"/>
      <c r="I274" s="55"/>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16"/>
      <c r="DW274" s="18"/>
      <c r="DX274" s="19"/>
    </row>
    <row r="275" spans="1:128">
      <c r="A275" s="219"/>
      <c r="B275" s="44"/>
      <c r="C275" s="229"/>
      <c r="D275" s="229"/>
      <c r="E275" s="55"/>
      <c r="F275" s="55"/>
      <c r="G275" s="55"/>
      <c r="H275" s="55"/>
      <c r="I275" s="38"/>
      <c r="CX275" s="16"/>
      <c r="CY275" s="16"/>
      <c r="CZ275" s="16"/>
      <c r="DA275" s="16"/>
      <c r="DB275" s="16"/>
      <c r="DC275" s="16"/>
      <c r="DD275" s="16"/>
      <c r="DE275" s="16"/>
      <c r="DF275" s="16"/>
      <c r="DG275" s="16"/>
      <c r="DH275" s="16"/>
      <c r="DI275" s="16"/>
      <c r="DJ275" s="16"/>
      <c r="DK275" s="16"/>
      <c r="DL275" s="16"/>
      <c r="DM275" s="16"/>
      <c r="DN275" s="16"/>
      <c r="DO275" s="16"/>
      <c r="DP275" s="16"/>
      <c r="DQ275" s="16"/>
      <c r="DR275" s="16"/>
      <c r="DS275" s="16"/>
      <c r="DT275" s="16"/>
      <c r="DU275" s="16"/>
      <c r="DV275" s="16"/>
      <c r="DW275" s="18"/>
      <c r="DX275" s="19"/>
    </row>
    <row r="276" spans="1:128">
      <c r="A276" s="241"/>
      <c r="B276" s="44"/>
      <c r="C276" s="229"/>
      <c r="D276" s="232"/>
      <c r="E276" s="177"/>
      <c r="F276" s="55"/>
      <c r="G276" s="55"/>
      <c r="H276" s="235"/>
      <c r="I276" s="38"/>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8"/>
      <c r="DX276" s="19"/>
    </row>
    <row r="277" spans="1:128">
      <c r="A277" s="241"/>
      <c r="B277" s="55"/>
      <c r="C277" s="229"/>
      <c r="D277" s="232"/>
      <c r="E277" s="55"/>
      <c r="F277" s="55"/>
      <c r="G277" s="55"/>
      <c r="H277" s="55"/>
      <c r="I277" s="55"/>
      <c r="CX277" s="16"/>
      <c r="CY277" s="16"/>
      <c r="CZ277" s="16"/>
      <c r="DA277" s="16"/>
      <c r="DB277" s="16"/>
      <c r="DC277" s="16"/>
      <c r="DD277" s="16"/>
      <c r="DE277" s="16"/>
      <c r="DF277" s="16"/>
      <c r="DG277" s="16"/>
      <c r="DH277" s="16"/>
      <c r="DI277" s="16"/>
      <c r="DJ277" s="16"/>
      <c r="DK277" s="16"/>
      <c r="DL277" s="16"/>
      <c r="DM277" s="16"/>
      <c r="DN277" s="16"/>
      <c r="DO277" s="16"/>
      <c r="DP277" s="16"/>
      <c r="DQ277" s="16"/>
      <c r="DR277" s="16"/>
      <c r="DS277" s="16"/>
      <c r="DT277" s="16"/>
      <c r="DU277" s="16"/>
      <c r="DV277" s="16"/>
      <c r="DW277" s="18"/>
      <c r="DX277" s="19"/>
    </row>
    <row r="278" spans="1:128">
      <c r="A278" s="55"/>
      <c r="B278" s="55"/>
      <c r="C278" s="55"/>
      <c r="D278" s="55"/>
      <c r="E278" s="55"/>
      <c r="F278" s="55"/>
      <c r="G278" s="235"/>
      <c r="H278" s="55"/>
      <c r="I278" s="55"/>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8"/>
      <c r="DX278" s="19"/>
    </row>
    <row r="279" spans="1:128">
      <c r="A279" s="38"/>
      <c r="B279" s="53"/>
      <c r="C279" s="55"/>
      <c r="D279" s="55"/>
      <c r="E279" s="55"/>
      <c r="F279" s="235"/>
      <c r="G279" s="55"/>
      <c r="H279" s="55"/>
      <c r="I279" s="55"/>
      <c r="CX279" s="16"/>
      <c r="CY279" s="16"/>
      <c r="CZ279" s="16"/>
      <c r="DA279" s="16"/>
      <c r="DB279" s="16"/>
      <c r="DC279" s="16"/>
      <c r="DD279" s="16"/>
      <c r="DE279" s="16"/>
      <c r="DF279" s="16"/>
      <c r="DG279" s="16"/>
      <c r="DH279" s="16"/>
      <c r="DI279" s="16"/>
      <c r="DJ279" s="16"/>
      <c r="DK279" s="16"/>
      <c r="DL279" s="16"/>
      <c r="DM279" s="16"/>
      <c r="DN279" s="16"/>
      <c r="DO279" s="16"/>
      <c r="DP279" s="16"/>
      <c r="DQ279" s="16"/>
      <c r="DR279" s="16"/>
      <c r="DS279" s="16"/>
      <c r="DT279" s="16"/>
      <c r="DU279" s="16"/>
      <c r="DV279" s="16"/>
      <c r="DW279" s="18"/>
      <c r="DX279" s="19"/>
    </row>
    <row r="280" spans="1:128">
      <c r="A280" s="234"/>
      <c r="B280" s="53"/>
      <c r="C280" s="110"/>
      <c r="D280" s="110"/>
      <c r="E280" s="20"/>
      <c r="F280" s="55"/>
      <c r="G280" s="55"/>
      <c r="H280" s="55"/>
      <c r="I280" s="38"/>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6"/>
      <c r="DT280" s="16"/>
      <c r="DU280" s="16"/>
      <c r="DV280" s="16"/>
      <c r="DW280" s="18"/>
      <c r="DX280" s="19"/>
    </row>
    <row r="281" spans="1:128">
      <c r="A281" s="234"/>
      <c r="B281" s="55"/>
      <c r="C281" s="110"/>
      <c r="D281" s="110"/>
      <c r="E281" s="20"/>
      <c r="F281" s="20"/>
      <c r="G281" s="55"/>
      <c r="H281" s="239"/>
      <c r="I281" s="55"/>
      <c r="CX281" s="16"/>
      <c r="CY281" s="16"/>
      <c r="CZ281" s="16"/>
      <c r="DA281" s="16"/>
      <c r="DB281" s="16"/>
      <c r="DC281" s="16"/>
      <c r="DD281" s="16"/>
      <c r="DE281" s="16"/>
      <c r="DF281" s="16"/>
      <c r="DG281" s="16"/>
      <c r="DH281" s="16"/>
      <c r="DI281" s="16"/>
      <c r="DJ281" s="16"/>
      <c r="DK281" s="16"/>
      <c r="DL281" s="16"/>
      <c r="DM281" s="16"/>
      <c r="DN281" s="16"/>
      <c r="DO281" s="16"/>
      <c r="DP281" s="16"/>
      <c r="DQ281" s="16"/>
      <c r="DR281" s="16"/>
      <c r="DS281" s="16"/>
      <c r="DT281" s="16"/>
      <c r="DU281" s="16"/>
      <c r="DV281" s="16"/>
      <c r="DW281" s="18"/>
      <c r="DX281" s="19"/>
    </row>
    <row r="282" spans="1:128">
      <c r="A282" s="55"/>
      <c r="B282" s="38"/>
      <c r="C282" s="55"/>
      <c r="D282" s="55"/>
      <c r="E282" s="55"/>
      <c r="F282" s="55"/>
      <c r="G282" s="55"/>
      <c r="H282" s="55"/>
      <c r="I282" s="55"/>
      <c r="CX282" s="16"/>
      <c r="CY282" s="16"/>
      <c r="CZ282" s="16"/>
      <c r="DA282" s="16"/>
      <c r="DB282" s="16"/>
      <c r="DC282" s="16"/>
      <c r="DD282" s="16"/>
      <c r="DE282" s="16"/>
      <c r="DF282" s="16"/>
      <c r="DG282" s="16"/>
      <c r="DH282" s="16"/>
      <c r="DI282" s="16"/>
      <c r="DJ282" s="16"/>
      <c r="DK282" s="16"/>
      <c r="DL282" s="16"/>
      <c r="DM282" s="16"/>
      <c r="DN282" s="16"/>
      <c r="DO282" s="16"/>
      <c r="DP282" s="16"/>
      <c r="DQ282" s="16"/>
      <c r="DR282" s="16"/>
      <c r="DS282" s="16"/>
      <c r="DT282" s="16"/>
      <c r="DU282" s="16"/>
      <c r="DV282" s="16"/>
      <c r="DW282" s="18"/>
      <c r="DX282" s="19"/>
    </row>
    <row r="283" spans="1:128">
      <c r="A283" s="38"/>
      <c r="B283" s="240"/>
      <c r="C283" s="38"/>
      <c r="D283" s="110"/>
      <c r="E283" s="20"/>
      <c r="F283" s="20"/>
      <c r="G283" s="55"/>
      <c r="H283" s="55"/>
      <c r="I283" s="55"/>
      <c r="CX283" s="16"/>
      <c r="CY283" s="16"/>
      <c r="CZ283" s="16"/>
      <c r="DA283" s="16"/>
      <c r="DB283" s="16"/>
      <c r="DC283" s="16"/>
      <c r="DD283" s="16"/>
      <c r="DE283" s="16"/>
      <c r="DF283" s="16"/>
      <c r="DG283" s="16"/>
      <c r="DH283" s="16"/>
      <c r="DI283" s="16"/>
      <c r="DJ283" s="16"/>
      <c r="DK283" s="16"/>
      <c r="DL283" s="16"/>
      <c r="DM283" s="16"/>
      <c r="DN283" s="16"/>
      <c r="DO283" s="16"/>
      <c r="DP283" s="16"/>
      <c r="DQ283" s="16"/>
      <c r="DR283" s="16"/>
      <c r="DS283" s="16"/>
      <c r="DT283" s="16"/>
      <c r="DU283" s="16"/>
      <c r="DV283" s="16"/>
      <c r="DW283" s="245"/>
    </row>
    <row r="284" spans="1:128">
      <c r="A284" s="234"/>
      <c r="B284" s="53"/>
      <c r="C284" s="110"/>
      <c r="D284" s="110"/>
      <c r="E284" s="20"/>
      <c r="F284" s="20"/>
      <c r="G284" s="55"/>
      <c r="H284" s="55"/>
      <c r="I284" s="55"/>
      <c r="CX284" s="16"/>
      <c r="CY284" s="16"/>
      <c r="CZ284" s="16"/>
      <c r="DA284" s="16"/>
      <c r="DB284" s="16"/>
      <c r="DC284" s="16"/>
      <c r="DD284" s="16"/>
      <c r="DE284" s="16"/>
      <c r="DF284" s="16"/>
      <c r="DG284" s="16"/>
      <c r="DH284" s="16"/>
      <c r="DI284" s="16"/>
      <c r="DJ284" s="16"/>
      <c r="DK284" s="16"/>
      <c r="DL284" s="16"/>
      <c r="DM284" s="16"/>
      <c r="DN284" s="16"/>
      <c r="DO284" s="16"/>
      <c r="DP284" s="16"/>
      <c r="DQ284" s="16"/>
      <c r="DR284" s="16"/>
      <c r="DS284" s="16"/>
      <c r="DT284" s="16"/>
      <c r="DU284" s="16"/>
      <c r="DV284" s="16"/>
      <c r="DW284" s="18"/>
    </row>
    <row r="285" spans="1:128">
      <c r="A285" s="234"/>
      <c r="B285" s="53"/>
      <c r="C285" s="110"/>
      <c r="D285" s="110"/>
      <c r="E285" s="20"/>
      <c r="F285" s="20"/>
      <c r="G285" s="55"/>
      <c r="H285" s="55"/>
      <c r="I285" s="55"/>
      <c r="CX285" s="16"/>
      <c r="CY285" s="16"/>
      <c r="CZ285" s="16"/>
      <c r="DA285" s="16"/>
      <c r="DB285" s="16"/>
      <c r="DC285" s="16"/>
      <c r="DD285" s="16"/>
      <c r="DE285" s="16"/>
      <c r="DF285" s="16"/>
      <c r="DG285" s="16"/>
      <c r="DH285" s="16"/>
      <c r="DI285" s="16"/>
      <c r="DJ285" s="16"/>
      <c r="DK285" s="16"/>
      <c r="DL285" s="16"/>
      <c r="DM285" s="16"/>
      <c r="DN285" s="16"/>
      <c r="DO285" s="16"/>
      <c r="DP285" s="16"/>
      <c r="DQ285" s="16"/>
      <c r="DR285" s="16"/>
      <c r="DS285" s="16"/>
      <c r="DT285" s="16"/>
      <c r="DU285" s="16"/>
      <c r="DV285" s="16"/>
      <c r="DW285" s="18"/>
    </row>
    <row r="286" spans="1:128">
      <c r="A286" s="234"/>
      <c r="B286" s="53"/>
      <c r="C286" s="110"/>
      <c r="D286" s="110"/>
      <c r="E286" s="20"/>
      <c r="F286" s="20"/>
      <c r="G286" s="55"/>
      <c r="H286" s="55"/>
      <c r="I286" s="55"/>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8"/>
    </row>
    <row r="287" spans="1:128">
      <c r="A287" s="234"/>
      <c r="B287" s="55"/>
      <c r="C287" s="110"/>
      <c r="D287" s="110"/>
      <c r="E287" s="20"/>
      <c r="F287" s="20"/>
      <c r="G287" s="55"/>
      <c r="H287" s="239"/>
      <c r="I287" s="55"/>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6"/>
      <c r="DT287" s="16"/>
      <c r="DU287" s="16"/>
      <c r="DV287" s="16"/>
      <c r="DW287" s="18"/>
    </row>
    <row r="288" spans="1:128">
      <c r="A288" s="55"/>
      <c r="B288" s="55"/>
      <c r="C288" s="55"/>
      <c r="D288" s="55"/>
      <c r="E288" s="55"/>
      <c r="F288" s="55"/>
      <c r="G288" s="55"/>
      <c r="H288" s="55"/>
      <c r="I288" s="55"/>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16"/>
      <c r="DW288" s="18"/>
    </row>
    <row r="289" spans="1:127">
      <c r="A289" s="55"/>
      <c r="B289" s="55"/>
      <c r="C289" s="55"/>
      <c r="D289" s="55"/>
      <c r="E289" s="55"/>
      <c r="F289" s="55"/>
      <c r="G289" s="55"/>
      <c r="H289" s="55"/>
      <c r="I289" s="55"/>
      <c r="CX289" s="16"/>
      <c r="CY289" s="16"/>
      <c r="CZ289" s="16"/>
      <c r="DA289" s="16"/>
      <c r="DB289" s="16"/>
      <c r="DC289" s="16"/>
      <c r="DD289" s="16"/>
      <c r="DE289" s="16"/>
      <c r="DF289" s="16"/>
      <c r="DG289" s="16"/>
      <c r="DH289" s="16"/>
      <c r="DI289" s="16"/>
      <c r="DJ289" s="16"/>
      <c r="DK289" s="16"/>
      <c r="DL289" s="16"/>
      <c r="DM289" s="16"/>
      <c r="DN289" s="16"/>
      <c r="DO289" s="16"/>
      <c r="DP289" s="16"/>
      <c r="DQ289" s="16"/>
      <c r="DR289" s="16"/>
      <c r="DS289" s="16"/>
      <c r="DT289" s="16"/>
      <c r="DU289" s="16"/>
      <c r="DV289" s="16"/>
      <c r="DW289" s="18"/>
    </row>
    <row r="290" spans="1:127">
      <c r="A290" s="246"/>
      <c r="B290" s="55"/>
      <c r="C290" s="55"/>
      <c r="D290" s="55"/>
      <c r="E290" s="55"/>
      <c r="F290" s="55"/>
      <c r="G290" s="55"/>
      <c r="H290" s="55"/>
      <c r="I290" s="55"/>
      <c r="CX290" s="16"/>
      <c r="CY290" s="16"/>
      <c r="CZ290" s="16"/>
      <c r="DA290" s="16"/>
      <c r="DB290" s="16"/>
      <c r="DC290" s="16"/>
      <c r="DD290" s="16"/>
      <c r="DE290" s="16"/>
      <c r="DF290" s="16"/>
      <c r="DG290" s="16"/>
      <c r="DH290" s="16"/>
      <c r="DI290" s="16"/>
      <c r="DJ290" s="16"/>
      <c r="DK290" s="16"/>
      <c r="DL290" s="16"/>
      <c r="DM290" s="16"/>
      <c r="DN290" s="16"/>
      <c r="DO290" s="16"/>
      <c r="DP290" s="16"/>
      <c r="DQ290" s="16"/>
      <c r="DR290" s="16"/>
      <c r="DS290" s="16"/>
      <c r="DT290" s="16"/>
      <c r="DU290" s="16"/>
      <c r="DV290" s="16"/>
      <c r="DW290" s="18"/>
    </row>
    <row r="291" spans="1:127">
      <c r="A291" s="55"/>
      <c r="B291" s="55"/>
      <c r="C291" s="55"/>
      <c r="D291" s="55"/>
      <c r="E291" s="55"/>
      <c r="F291" s="55"/>
      <c r="G291" s="55"/>
      <c r="H291" s="55"/>
      <c r="I291" s="55"/>
      <c r="CX291" s="16"/>
      <c r="CY291" s="16"/>
      <c r="CZ291" s="16"/>
      <c r="DA291" s="16"/>
      <c r="DB291" s="16"/>
      <c r="DC291" s="16"/>
      <c r="DD291" s="16"/>
      <c r="DE291" s="16"/>
      <c r="DF291" s="16"/>
      <c r="DG291" s="16"/>
      <c r="DH291" s="16"/>
      <c r="DI291" s="16"/>
      <c r="DJ291" s="16"/>
      <c r="DK291" s="16"/>
      <c r="DL291" s="16"/>
      <c r="DM291" s="16"/>
      <c r="DN291" s="16"/>
      <c r="DO291" s="16"/>
      <c r="DP291" s="16"/>
      <c r="DQ291" s="16"/>
      <c r="DR291" s="16"/>
      <c r="DS291" s="16"/>
      <c r="DT291" s="16"/>
      <c r="DU291" s="16"/>
      <c r="DV291" s="16"/>
      <c r="DW291" s="18"/>
    </row>
    <row r="292" spans="1:127">
      <c r="A292" s="55"/>
      <c r="B292" s="55"/>
      <c r="C292" s="55"/>
      <c r="D292" s="55"/>
      <c r="E292" s="55"/>
      <c r="F292" s="55"/>
      <c r="G292" s="55"/>
      <c r="H292" s="55"/>
      <c r="I292" s="55"/>
      <c r="CX292" s="16"/>
      <c r="CY292" s="16"/>
      <c r="CZ292" s="16"/>
      <c r="DA292" s="16"/>
      <c r="DB292" s="16"/>
      <c r="DC292" s="16"/>
      <c r="DD292" s="16"/>
      <c r="DE292" s="16"/>
      <c r="DF292" s="16"/>
      <c r="DG292" s="16"/>
      <c r="DH292" s="16"/>
      <c r="DI292" s="16"/>
      <c r="DJ292" s="16"/>
      <c r="DK292" s="16"/>
      <c r="DL292" s="16"/>
      <c r="DM292" s="16"/>
      <c r="DN292" s="16"/>
      <c r="DO292" s="16"/>
      <c r="DP292" s="16"/>
      <c r="DQ292" s="16"/>
      <c r="DR292" s="16"/>
      <c r="DS292" s="16"/>
      <c r="DT292" s="16"/>
      <c r="DU292" s="16"/>
      <c r="DV292" s="16"/>
      <c r="DW292" s="18"/>
    </row>
    <row r="293" spans="1:127">
      <c r="A293" s="55"/>
      <c r="B293" s="55"/>
      <c r="C293" s="55"/>
      <c r="D293" s="55"/>
      <c r="E293" s="55"/>
      <c r="F293" s="55"/>
      <c r="G293" s="55"/>
      <c r="H293" s="55"/>
      <c r="I293" s="55"/>
      <c r="CX293" s="16"/>
      <c r="CY293" s="16"/>
      <c r="CZ293" s="16"/>
      <c r="DA293" s="16"/>
      <c r="DB293" s="16"/>
      <c r="DC293" s="16"/>
      <c r="DD293" s="16"/>
      <c r="DE293" s="16"/>
      <c r="DF293" s="16"/>
      <c r="DG293" s="16"/>
      <c r="DH293" s="16"/>
      <c r="DI293" s="16"/>
      <c r="DJ293" s="16"/>
      <c r="DK293" s="16"/>
      <c r="DL293" s="16"/>
      <c r="DM293" s="16"/>
      <c r="DN293" s="16"/>
      <c r="DO293" s="16"/>
      <c r="DP293" s="16"/>
      <c r="DQ293" s="16"/>
      <c r="DR293" s="16"/>
      <c r="DS293" s="16"/>
      <c r="DT293" s="16"/>
      <c r="DU293" s="16"/>
      <c r="DV293" s="16"/>
      <c r="DW293" s="18"/>
    </row>
    <row r="294" spans="1:127">
      <c r="A294" s="55"/>
      <c r="B294" s="55"/>
      <c r="C294" s="55"/>
      <c r="D294" s="55"/>
      <c r="E294" s="55"/>
      <c r="F294" s="55"/>
      <c r="G294" s="55"/>
      <c r="H294" s="55"/>
      <c r="I294" s="55"/>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8"/>
    </row>
    <row r="295" spans="1:127">
      <c r="A295" s="55"/>
      <c r="B295" s="55"/>
      <c r="C295" s="55"/>
      <c r="D295" s="55"/>
      <c r="E295" s="55"/>
      <c r="F295" s="55"/>
      <c r="G295" s="55"/>
      <c r="H295" s="55"/>
      <c r="I295" s="55"/>
      <c r="CX295" s="16"/>
      <c r="CY295" s="16"/>
      <c r="CZ295" s="16"/>
      <c r="DA295" s="16"/>
      <c r="DB295" s="16"/>
      <c r="DC295" s="16"/>
      <c r="DD295" s="16"/>
      <c r="DE295" s="16"/>
      <c r="DF295" s="16"/>
      <c r="DG295" s="16"/>
      <c r="DH295" s="16"/>
      <c r="DI295" s="16"/>
      <c r="DJ295" s="16"/>
      <c r="DK295" s="16"/>
      <c r="DL295" s="16"/>
      <c r="DM295" s="16"/>
      <c r="DN295" s="16"/>
      <c r="DO295" s="16"/>
      <c r="DP295" s="16"/>
      <c r="DQ295" s="16"/>
      <c r="DR295" s="16"/>
      <c r="DS295" s="16"/>
      <c r="DT295" s="16"/>
      <c r="DU295" s="16"/>
      <c r="DV295" s="16"/>
      <c r="DW295" s="18"/>
    </row>
    <row r="296" spans="1:127">
      <c r="A296" s="55"/>
      <c r="B296" s="55"/>
      <c r="C296" s="55"/>
      <c r="D296" s="55"/>
      <c r="E296" s="55"/>
      <c r="F296" s="55"/>
      <c r="G296" s="55"/>
      <c r="H296" s="55"/>
      <c r="I296" s="55"/>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8"/>
    </row>
    <row r="297" spans="1:127">
      <c r="A297" s="55"/>
      <c r="B297" s="55"/>
      <c r="C297" s="55"/>
      <c r="D297" s="55"/>
      <c r="E297" s="55"/>
      <c r="F297" s="55"/>
      <c r="G297" s="55"/>
      <c r="H297" s="55"/>
      <c r="I297" s="55"/>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6"/>
      <c r="DT297" s="16"/>
      <c r="DU297" s="16"/>
      <c r="DV297" s="16"/>
      <c r="DW297" s="18"/>
    </row>
    <row r="298" spans="1:127">
      <c r="A298" s="55"/>
      <c r="B298" s="55"/>
      <c r="C298" s="55"/>
      <c r="D298" s="55"/>
      <c r="E298" s="55"/>
      <c r="F298" s="55"/>
      <c r="G298" s="55"/>
      <c r="H298" s="55"/>
      <c r="I298" s="55"/>
      <c r="CX298" s="16"/>
      <c r="CY298" s="16"/>
      <c r="CZ298" s="16"/>
      <c r="DA298" s="16"/>
      <c r="DB298" s="16"/>
      <c r="DC298" s="16"/>
      <c r="DD298" s="16"/>
      <c r="DE298" s="16"/>
      <c r="DF298" s="16"/>
      <c r="DG298" s="16"/>
      <c r="DH298" s="16"/>
      <c r="DI298" s="16"/>
      <c r="DJ298" s="16"/>
      <c r="DK298" s="16"/>
      <c r="DL298" s="16"/>
      <c r="DM298" s="16"/>
      <c r="DN298" s="16"/>
      <c r="DO298" s="16"/>
      <c r="DP298" s="16"/>
      <c r="DQ298" s="16"/>
      <c r="DR298" s="16"/>
      <c r="DS298" s="16"/>
      <c r="DT298" s="16"/>
      <c r="DU298" s="16"/>
      <c r="DV298" s="16"/>
      <c r="DW298" s="18"/>
    </row>
    <row r="299" spans="1:127">
      <c r="A299" s="55"/>
      <c r="B299" s="55"/>
      <c r="C299" s="55"/>
      <c r="D299" s="55"/>
      <c r="E299" s="55"/>
      <c r="F299" s="55"/>
      <c r="G299" s="55"/>
      <c r="H299" s="55"/>
      <c r="I299" s="55"/>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16"/>
      <c r="DW299" s="18"/>
    </row>
    <row r="300" spans="1:127">
      <c r="A300" s="55"/>
      <c r="B300" s="55"/>
      <c r="C300" s="55"/>
      <c r="D300" s="55"/>
      <c r="E300" s="55"/>
      <c r="F300" s="55"/>
      <c r="G300" s="55"/>
      <c r="H300" s="55"/>
      <c r="I300" s="55"/>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6"/>
      <c r="DT300" s="16"/>
      <c r="DU300" s="16"/>
      <c r="DV300" s="16"/>
      <c r="DW300" s="18"/>
    </row>
    <row r="301" spans="1:127">
      <c r="A301" s="55"/>
      <c r="B301" s="55"/>
      <c r="C301" s="55"/>
      <c r="D301" s="55"/>
      <c r="E301" s="55"/>
      <c r="F301" s="55"/>
      <c r="G301" s="55"/>
      <c r="H301" s="55"/>
      <c r="I301" s="55"/>
      <c r="CX301" s="16"/>
      <c r="CY301" s="16"/>
      <c r="CZ301" s="16"/>
      <c r="DA301" s="16"/>
      <c r="DB301" s="16"/>
      <c r="DC301" s="16"/>
      <c r="DD301" s="16"/>
      <c r="DE301" s="16"/>
      <c r="DF301" s="16"/>
      <c r="DG301" s="16"/>
      <c r="DH301" s="16"/>
      <c r="DI301" s="16"/>
      <c r="DJ301" s="16"/>
      <c r="DK301" s="16"/>
      <c r="DL301" s="16"/>
      <c r="DM301" s="16"/>
      <c r="DN301" s="16"/>
      <c r="DO301" s="16"/>
      <c r="DP301" s="16"/>
      <c r="DQ301" s="16"/>
      <c r="DR301" s="16"/>
      <c r="DS301" s="16"/>
      <c r="DT301" s="16"/>
      <c r="DU301" s="16"/>
      <c r="DV301" s="16"/>
      <c r="DW301" s="18"/>
    </row>
    <row r="302" spans="1:127">
      <c r="A302" s="55"/>
      <c r="B302" s="55"/>
      <c r="C302" s="55"/>
      <c r="D302" s="55"/>
      <c r="E302" s="55"/>
      <c r="F302" s="55"/>
      <c r="G302" s="55"/>
      <c r="H302" s="55"/>
      <c r="I302" s="55"/>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8"/>
    </row>
    <row r="303" spans="1:127">
      <c r="A303" s="55"/>
      <c r="B303" s="55"/>
      <c r="C303" s="55"/>
      <c r="D303" s="55"/>
      <c r="E303" s="55"/>
      <c r="F303" s="55"/>
      <c r="G303" s="55"/>
      <c r="H303" s="55"/>
      <c r="I303" s="55"/>
      <c r="CX303" s="16"/>
      <c r="CY303" s="16"/>
      <c r="CZ303" s="16"/>
      <c r="DA303" s="16"/>
      <c r="DB303" s="16"/>
      <c r="DC303" s="16"/>
      <c r="DD303" s="16"/>
      <c r="DE303" s="16"/>
      <c r="DF303" s="16"/>
      <c r="DG303" s="16"/>
      <c r="DH303" s="16"/>
      <c r="DI303" s="16"/>
      <c r="DJ303" s="16"/>
      <c r="DK303" s="16"/>
      <c r="DL303" s="16"/>
      <c r="DM303" s="16"/>
      <c r="DN303" s="16"/>
      <c r="DO303" s="16"/>
      <c r="DP303" s="16"/>
      <c r="DQ303" s="16"/>
      <c r="DR303" s="16"/>
      <c r="DS303" s="16"/>
      <c r="DT303" s="16"/>
      <c r="DU303" s="16"/>
      <c r="DV303" s="16"/>
      <c r="DW303" s="18"/>
    </row>
    <row r="304" spans="1:127">
      <c r="A304" s="55"/>
      <c r="B304" s="55"/>
      <c r="C304" s="55"/>
      <c r="D304" s="55"/>
      <c r="E304" s="55"/>
      <c r="F304" s="55"/>
      <c r="G304" s="55"/>
      <c r="H304" s="55"/>
      <c r="I304" s="55"/>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6"/>
      <c r="DT304" s="16"/>
      <c r="DU304" s="16"/>
      <c r="DV304" s="16"/>
      <c r="DW304" s="18"/>
    </row>
    <row r="305" spans="1:127">
      <c r="A305" s="55"/>
      <c r="B305" s="55"/>
      <c r="C305" s="55"/>
      <c r="D305" s="55"/>
      <c r="E305" s="55"/>
      <c r="F305" s="55"/>
      <c r="G305" s="55"/>
      <c r="H305" s="55"/>
      <c r="I305" s="55"/>
      <c r="CX305" s="16"/>
      <c r="CY305" s="16"/>
      <c r="CZ305" s="16"/>
      <c r="DA305" s="16"/>
      <c r="DB305" s="16"/>
      <c r="DC305" s="16"/>
      <c r="DD305" s="16"/>
      <c r="DE305" s="16"/>
      <c r="DF305" s="16"/>
      <c r="DG305" s="16"/>
      <c r="DH305" s="16"/>
      <c r="DI305" s="16"/>
      <c r="DJ305" s="16"/>
      <c r="DK305" s="16"/>
      <c r="DL305" s="16"/>
      <c r="DM305" s="16"/>
      <c r="DN305" s="16"/>
      <c r="DO305" s="16"/>
      <c r="DP305" s="16"/>
      <c r="DQ305" s="16"/>
      <c r="DR305" s="16"/>
      <c r="DS305" s="16"/>
      <c r="DT305" s="16"/>
      <c r="DU305" s="16"/>
      <c r="DV305" s="16"/>
      <c r="DW305" s="18"/>
    </row>
    <row r="306" spans="1:127">
      <c r="A306" s="55"/>
      <c r="B306" s="55"/>
      <c r="C306" s="55"/>
      <c r="D306" s="55"/>
      <c r="E306" s="55"/>
      <c r="F306" s="55"/>
      <c r="G306" s="55"/>
      <c r="H306" s="55"/>
      <c r="I306" s="55"/>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16"/>
      <c r="DW306" s="18"/>
    </row>
    <row r="307" spans="1:127">
      <c r="A307" s="55"/>
      <c r="B307" s="55"/>
      <c r="C307" s="55"/>
      <c r="D307" s="55"/>
      <c r="E307" s="55"/>
      <c r="F307" s="55"/>
      <c r="G307" s="55"/>
      <c r="H307" s="55"/>
      <c r="I307" s="55"/>
      <c r="CX307" s="16"/>
      <c r="CY307" s="16"/>
      <c r="CZ307" s="16"/>
      <c r="DA307" s="16"/>
      <c r="DB307" s="16"/>
      <c r="DC307" s="16"/>
      <c r="DD307" s="16"/>
      <c r="DE307" s="16"/>
      <c r="DF307" s="16"/>
      <c r="DG307" s="16"/>
      <c r="DH307" s="16"/>
      <c r="DI307" s="16"/>
      <c r="DJ307" s="16"/>
      <c r="DK307" s="16"/>
      <c r="DL307" s="16"/>
      <c r="DM307" s="16"/>
      <c r="DN307" s="16"/>
      <c r="DO307" s="16"/>
      <c r="DP307" s="16"/>
      <c r="DQ307" s="16"/>
      <c r="DR307" s="16"/>
      <c r="DS307" s="16"/>
      <c r="DT307" s="16"/>
      <c r="DU307" s="16"/>
      <c r="DV307" s="16"/>
      <c r="DW307" s="18"/>
    </row>
    <row r="308" spans="1:127">
      <c r="A308" s="55"/>
      <c r="B308" s="55"/>
      <c r="C308" s="55"/>
      <c r="D308" s="55"/>
      <c r="E308" s="55"/>
      <c r="F308" s="55"/>
      <c r="G308" s="55"/>
      <c r="H308" s="55"/>
      <c r="I308" s="55"/>
      <c r="CX308" s="16"/>
      <c r="CY308" s="16"/>
      <c r="CZ308" s="16"/>
      <c r="DA308" s="16"/>
      <c r="DB308" s="16"/>
      <c r="DC308" s="16"/>
      <c r="DD308" s="16"/>
      <c r="DE308" s="16"/>
      <c r="DF308" s="16"/>
      <c r="DG308" s="16"/>
      <c r="DH308" s="16"/>
      <c r="DI308" s="16"/>
      <c r="DJ308" s="16"/>
      <c r="DK308" s="16"/>
      <c r="DL308" s="16"/>
      <c r="DM308" s="16"/>
      <c r="DN308" s="16"/>
      <c r="DO308" s="16"/>
      <c r="DP308" s="16"/>
      <c r="DQ308" s="16"/>
      <c r="DR308" s="16"/>
      <c r="DS308" s="16"/>
      <c r="DT308" s="16"/>
      <c r="DU308" s="16"/>
      <c r="DV308" s="16"/>
      <c r="DW308" s="18"/>
    </row>
    <row r="309" spans="1:127">
      <c r="A309" s="55"/>
      <c r="B309" s="55"/>
      <c r="C309" s="55"/>
      <c r="D309" s="55"/>
      <c r="E309" s="55"/>
      <c r="F309" s="55"/>
      <c r="G309" s="55"/>
      <c r="H309" s="55"/>
      <c r="I309" s="55"/>
      <c r="CX309" s="16"/>
      <c r="CY309" s="16"/>
      <c r="CZ309" s="16"/>
      <c r="DA309" s="16"/>
      <c r="DB309" s="16"/>
      <c r="DC309" s="16"/>
      <c r="DD309" s="16"/>
      <c r="DE309" s="16"/>
      <c r="DF309" s="16"/>
      <c r="DG309" s="16"/>
      <c r="DH309" s="16"/>
      <c r="DI309" s="16"/>
      <c r="DJ309" s="16"/>
      <c r="DK309" s="16"/>
      <c r="DL309" s="16"/>
      <c r="DM309" s="16"/>
      <c r="DN309" s="16"/>
      <c r="DO309" s="16"/>
      <c r="DP309" s="16"/>
      <c r="DQ309" s="16"/>
      <c r="DR309" s="16"/>
      <c r="DS309" s="16"/>
      <c r="DT309" s="16"/>
      <c r="DU309" s="16"/>
      <c r="DV309" s="16"/>
      <c r="DW309" s="18"/>
    </row>
    <row r="310" spans="1:127">
      <c r="A310" s="55"/>
      <c r="B310" s="55"/>
      <c r="C310" s="55"/>
      <c r="D310" s="55"/>
      <c r="E310" s="55"/>
      <c r="F310" s="55"/>
      <c r="G310" s="55"/>
      <c r="H310" s="55"/>
      <c r="I310" s="55"/>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6"/>
      <c r="DT310" s="16"/>
      <c r="DU310" s="16"/>
      <c r="DV310" s="16"/>
      <c r="DW310" s="18"/>
    </row>
    <row r="311" spans="1:127">
      <c r="A311" s="55"/>
      <c r="B311" s="55"/>
      <c r="C311" s="55"/>
      <c r="D311" s="55"/>
      <c r="E311" s="55"/>
      <c r="F311" s="55"/>
      <c r="G311" s="55"/>
      <c r="H311" s="55"/>
      <c r="I311" s="55"/>
      <c r="CX311" s="16"/>
      <c r="CY311" s="16"/>
      <c r="CZ311" s="16"/>
      <c r="DA311" s="16"/>
      <c r="DB311" s="16"/>
      <c r="DC311" s="16"/>
      <c r="DD311" s="16"/>
      <c r="DE311" s="16"/>
      <c r="DF311" s="16"/>
      <c r="DG311" s="16"/>
      <c r="DH311" s="16"/>
      <c r="DI311" s="16"/>
      <c r="DJ311" s="16"/>
      <c r="DK311" s="16"/>
      <c r="DL311" s="16"/>
      <c r="DM311" s="16"/>
      <c r="DN311" s="16"/>
      <c r="DO311" s="16"/>
      <c r="DP311" s="16"/>
      <c r="DQ311" s="16"/>
      <c r="DR311" s="16"/>
      <c r="DS311" s="16"/>
      <c r="DT311" s="16"/>
      <c r="DU311" s="16"/>
      <c r="DV311" s="16"/>
    </row>
    <row r="312" spans="1:127">
      <c r="A312" s="55"/>
      <c r="B312" s="55"/>
      <c r="C312" s="55"/>
      <c r="D312" s="55"/>
      <c r="E312" s="55"/>
      <c r="F312" s="55"/>
      <c r="G312" s="55"/>
      <c r="H312" s="55"/>
      <c r="I312" s="55"/>
      <c r="CX312" s="16"/>
      <c r="CY312" s="16"/>
      <c r="CZ312" s="16"/>
      <c r="DA312" s="16"/>
      <c r="DB312" s="16"/>
      <c r="DC312" s="16"/>
      <c r="DD312" s="16"/>
      <c r="DE312" s="16"/>
      <c r="DF312" s="16"/>
      <c r="DG312" s="16"/>
      <c r="DH312" s="16"/>
      <c r="DI312" s="16"/>
      <c r="DJ312" s="16"/>
      <c r="DK312" s="16"/>
      <c r="DL312" s="16"/>
      <c r="DM312" s="16"/>
      <c r="DN312" s="16"/>
      <c r="DO312" s="16"/>
      <c r="DP312" s="16"/>
      <c r="DQ312" s="16"/>
      <c r="DR312" s="16"/>
      <c r="DS312" s="16"/>
      <c r="DT312" s="16"/>
      <c r="DU312" s="16"/>
      <c r="DV312" s="16"/>
    </row>
    <row r="313" spans="1:127">
      <c r="A313" s="55"/>
      <c r="B313" s="55"/>
      <c r="C313" s="55"/>
      <c r="D313" s="55"/>
      <c r="E313" s="55"/>
      <c r="F313" s="55"/>
      <c r="G313" s="55"/>
      <c r="H313" s="55"/>
      <c r="I313" s="55"/>
      <c r="CX313" s="16"/>
      <c r="CY313" s="16"/>
      <c r="CZ313" s="16"/>
      <c r="DA313" s="16"/>
      <c r="DB313" s="16"/>
      <c r="DC313" s="16"/>
      <c r="DD313" s="16"/>
      <c r="DE313" s="16"/>
      <c r="DF313" s="16"/>
      <c r="DG313" s="16"/>
      <c r="DH313" s="16"/>
      <c r="DI313" s="16"/>
      <c r="DJ313" s="16"/>
      <c r="DK313" s="16"/>
      <c r="DL313" s="16"/>
      <c r="DM313" s="16"/>
      <c r="DN313" s="16"/>
      <c r="DO313" s="16"/>
      <c r="DP313" s="16"/>
      <c r="DQ313" s="16"/>
      <c r="DR313" s="16"/>
      <c r="DS313" s="16"/>
      <c r="DT313" s="16"/>
      <c r="DU313" s="16"/>
      <c r="DV313" s="16"/>
    </row>
    <row r="314" spans="1:127">
      <c r="A314" s="55"/>
      <c r="C314" s="55"/>
      <c r="D314" s="55"/>
      <c r="E314" s="55"/>
      <c r="F314" s="55"/>
      <c r="G314" s="55"/>
      <c r="H314" s="55"/>
      <c r="I314" s="55"/>
      <c r="CX314" s="16"/>
      <c r="CY314" s="16"/>
      <c r="CZ314" s="16"/>
      <c r="DA314" s="16"/>
      <c r="DB314" s="16"/>
      <c r="DC314" s="16"/>
      <c r="DD314" s="16"/>
      <c r="DE314" s="16"/>
      <c r="DF314" s="16"/>
      <c r="DG314" s="16"/>
      <c r="DH314" s="16"/>
      <c r="DI314" s="16"/>
      <c r="DJ314" s="16"/>
      <c r="DK314" s="16"/>
      <c r="DL314" s="16"/>
      <c r="DM314" s="16"/>
      <c r="DN314" s="16"/>
      <c r="DO314" s="16"/>
      <c r="DP314" s="16"/>
      <c r="DQ314" s="16"/>
      <c r="DR314" s="16"/>
      <c r="DS314" s="16"/>
      <c r="DT314" s="16"/>
      <c r="DU314" s="16"/>
      <c r="DV314" s="16"/>
    </row>
    <row r="315" spans="1:127">
      <c r="CX315" s="16"/>
      <c r="CY315" s="16"/>
      <c r="CZ315" s="16"/>
      <c r="DA315" s="16"/>
      <c r="DB315" s="16"/>
      <c r="DC315" s="16"/>
      <c r="DD315" s="16"/>
      <c r="DE315" s="16"/>
      <c r="DF315" s="16"/>
      <c r="DG315" s="16"/>
      <c r="DH315" s="16"/>
      <c r="DI315" s="16"/>
      <c r="DJ315" s="16"/>
      <c r="DK315" s="16"/>
      <c r="DL315" s="16"/>
      <c r="DM315" s="16"/>
      <c r="DN315" s="16"/>
      <c r="DO315" s="16"/>
      <c r="DP315" s="16"/>
      <c r="DQ315" s="16"/>
      <c r="DR315" s="16"/>
      <c r="DS315" s="16"/>
      <c r="DT315" s="16"/>
      <c r="DU315" s="16"/>
      <c r="DV315" s="16"/>
    </row>
    <row r="316" spans="1:127">
      <c r="CX316" s="16"/>
      <c r="CY316" s="16"/>
      <c r="CZ316" s="16"/>
      <c r="DA316" s="16"/>
      <c r="DB316" s="16"/>
      <c r="DC316" s="16"/>
      <c r="DD316" s="16"/>
      <c r="DE316" s="16"/>
      <c r="DF316" s="16"/>
      <c r="DG316" s="16"/>
      <c r="DH316" s="16"/>
      <c r="DI316" s="16"/>
      <c r="DJ316" s="16"/>
      <c r="DK316" s="16"/>
      <c r="DL316" s="16"/>
      <c r="DM316" s="16"/>
      <c r="DN316" s="16"/>
      <c r="DO316" s="16"/>
      <c r="DP316" s="16"/>
      <c r="DQ316" s="16"/>
      <c r="DR316" s="16"/>
      <c r="DS316" s="16"/>
      <c r="DT316" s="16"/>
      <c r="DU316" s="16"/>
      <c r="DV316" s="16"/>
    </row>
    <row r="317" spans="1:127">
      <c r="CX317" s="16"/>
      <c r="CY317" s="16"/>
      <c r="CZ317" s="16"/>
      <c r="DA317" s="16"/>
      <c r="DB317" s="16"/>
      <c r="DC317" s="16"/>
      <c r="DD317" s="16"/>
      <c r="DE317" s="16"/>
      <c r="DF317" s="16"/>
      <c r="DG317" s="16"/>
      <c r="DH317" s="16"/>
      <c r="DI317" s="16"/>
      <c r="DJ317" s="16"/>
      <c r="DK317" s="16"/>
      <c r="DL317" s="16"/>
      <c r="DM317" s="16"/>
      <c r="DN317" s="16"/>
      <c r="DO317" s="16"/>
      <c r="DP317" s="16"/>
      <c r="DQ317" s="16"/>
      <c r="DR317" s="16"/>
      <c r="DS317" s="16"/>
      <c r="DT317" s="16"/>
      <c r="DU317" s="16"/>
      <c r="DV317" s="16"/>
    </row>
    <row r="318" spans="1:127">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16"/>
      <c r="DV318" s="16"/>
    </row>
    <row r="319" spans="1:127">
      <c r="CX319" s="16"/>
      <c r="CY319" s="16"/>
      <c r="CZ319" s="16"/>
      <c r="DA319" s="16"/>
      <c r="DB319" s="16"/>
      <c r="DC319" s="16"/>
      <c r="DD319" s="16"/>
      <c r="DE319" s="16"/>
      <c r="DF319" s="16"/>
      <c r="DG319" s="16"/>
      <c r="DH319" s="16"/>
      <c r="DI319" s="16"/>
      <c r="DJ319" s="16"/>
      <c r="DK319" s="16"/>
      <c r="DL319" s="16"/>
      <c r="DM319" s="16"/>
      <c r="DN319" s="16"/>
      <c r="DO319" s="16"/>
      <c r="DP319" s="16"/>
      <c r="DQ319" s="16"/>
      <c r="DR319" s="16"/>
      <c r="DS319" s="16"/>
      <c r="DT319" s="16"/>
      <c r="DU319" s="16"/>
      <c r="DV319" s="16"/>
    </row>
    <row r="320" spans="1:127">
      <c r="CX320" s="16"/>
      <c r="CY320" s="16"/>
      <c r="CZ320" s="16"/>
      <c r="DA320" s="16"/>
      <c r="DB320" s="16"/>
      <c r="DC320" s="16"/>
      <c r="DD320" s="16"/>
      <c r="DE320" s="16"/>
      <c r="DF320" s="16"/>
      <c r="DG320" s="16"/>
      <c r="DH320" s="16"/>
      <c r="DI320" s="16"/>
      <c r="DJ320" s="16"/>
      <c r="DK320" s="16"/>
      <c r="DL320" s="16"/>
      <c r="DM320" s="16"/>
      <c r="DN320" s="16"/>
      <c r="DO320" s="16"/>
      <c r="DP320" s="16"/>
      <c r="DQ320" s="16"/>
      <c r="DR320" s="16"/>
      <c r="DS320" s="16"/>
      <c r="DT320" s="16"/>
      <c r="DU320" s="16"/>
      <c r="DV320" s="16"/>
    </row>
    <row r="321" spans="102:126">
      <c r="CX321" s="16"/>
      <c r="CY321" s="16"/>
      <c r="CZ321" s="16"/>
      <c r="DA321" s="16"/>
      <c r="DB321" s="16"/>
      <c r="DC321" s="16"/>
      <c r="DD321" s="16"/>
      <c r="DE321" s="16"/>
      <c r="DF321" s="16"/>
      <c r="DG321" s="16"/>
      <c r="DH321" s="16"/>
      <c r="DI321" s="16"/>
      <c r="DJ321" s="16"/>
      <c r="DK321" s="16"/>
      <c r="DL321" s="16"/>
      <c r="DM321" s="16"/>
      <c r="DN321" s="16"/>
      <c r="DO321" s="16"/>
      <c r="DP321" s="16"/>
      <c r="DQ321" s="16"/>
      <c r="DR321" s="16"/>
      <c r="DS321" s="16"/>
      <c r="DT321" s="16"/>
      <c r="DU321" s="16"/>
      <c r="DV321" s="16"/>
    </row>
    <row r="322" spans="102:126">
      <c r="CX322" s="16"/>
      <c r="CY322" s="16"/>
      <c r="CZ322" s="16"/>
      <c r="DA322" s="16"/>
      <c r="DB322" s="16"/>
      <c r="DC322" s="16"/>
      <c r="DD322" s="16"/>
      <c r="DE322" s="16"/>
      <c r="DF322" s="16"/>
      <c r="DG322" s="16"/>
      <c r="DH322" s="16"/>
      <c r="DI322" s="16"/>
      <c r="DJ322" s="16"/>
      <c r="DK322" s="16"/>
      <c r="DL322" s="16"/>
      <c r="DM322" s="16"/>
      <c r="DN322" s="16"/>
      <c r="DO322" s="16"/>
      <c r="DP322" s="16"/>
      <c r="DQ322" s="16"/>
      <c r="DR322" s="16"/>
      <c r="DS322" s="16"/>
      <c r="DT322" s="16"/>
      <c r="DU322" s="16"/>
      <c r="DV322" s="16"/>
    </row>
    <row r="323" spans="102:126">
      <c r="CX323" s="16"/>
      <c r="CY323" s="16"/>
      <c r="CZ323" s="16"/>
      <c r="DA323" s="16"/>
      <c r="DB323" s="16"/>
      <c r="DC323" s="16"/>
      <c r="DD323" s="16"/>
      <c r="DE323" s="16"/>
      <c r="DF323" s="16"/>
      <c r="DG323" s="16"/>
      <c r="DH323" s="16"/>
      <c r="DI323" s="16"/>
      <c r="DJ323" s="16"/>
      <c r="DK323" s="16"/>
      <c r="DL323" s="16"/>
      <c r="DM323" s="16"/>
      <c r="DN323" s="16"/>
      <c r="DO323" s="16"/>
      <c r="DP323" s="16"/>
      <c r="DQ323" s="16"/>
      <c r="DR323" s="16"/>
      <c r="DS323" s="16"/>
      <c r="DT323" s="16"/>
      <c r="DU323" s="16"/>
      <c r="DV323" s="16"/>
    </row>
    <row r="324" spans="102:126">
      <c r="CX324" s="16"/>
      <c r="CY324" s="16"/>
      <c r="CZ324" s="16"/>
      <c r="DA324" s="16"/>
      <c r="DB324" s="16"/>
      <c r="DC324" s="16"/>
      <c r="DD324" s="16"/>
      <c r="DE324" s="16"/>
      <c r="DF324" s="16"/>
      <c r="DG324" s="16"/>
      <c r="DH324" s="16"/>
      <c r="DI324" s="16"/>
      <c r="DJ324" s="16"/>
      <c r="DK324" s="16"/>
      <c r="DL324" s="16"/>
      <c r="DM324" s="16"/>
      <c r="DN324" s="16"/>
      <c r="DO324" s="16"/>
      <c r="DP324" s="16"/>
      <c r="DQ324" s="16"/>
      <c r="DR324" s="16"/>
      <c r="DS324" s="16"/>
      <c r="DT324" s="16"/>
      <c r="DU324" s="16"/>
      <c r="DV324" s="16"/>
    </row>
    <row r="325" spans="102:126">
      <c r="CX325" s="16"/>
      <c r="CY325" s="16"/>
      <c r="CZ325" s="16"/>
      <c r="DA325" s="16"/>
      <c r="DB325" s="16"/>
      <c r="DC325" s="16"/>
      <c r="DD325" s="16"/>
      <c r="DE325" s="16"/>
      <c r="DF325" s="16"/>
      <c r="DG325" s="16"/>
      <c r="DH325" s="16"/>
      <c r="DI325" s="16"/>
      <c r="DJ325" s="16"/>
      <c r="DK325" s="16"/>
      <c r="DL325" s="16"/>
      <c r="DM325" s="16"/>
      <c r="DN325" s="16"/>
      <c r="DO325" s="16"/>
      <c r="DP325" s="16"/>
      <c r="DQ325" s="16"/>
      <c r="DR325" s="16"/>
      <c r="DS325" s="16"/>
      <c r="DT325" s="16"/>
      <c r="DU325" s="16"/>
      <c r="DV325" s="16"/>
    </row>
    <row r="326" spans="102:12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row>
    <row r="327" spans="102:126">
      <c r="CX327" s="16"/>
      <c r="CY327" s="16"/>
      <c r="CZ327" s="16"/>
      <c r="DA327" s="16"/>
      <c r="DB327" s="16"/>
      <c r="DC327" s="16"/>
      <c r="DD327" s="16"/>
      <c r="DE327" s="16"/>
      <c r="DF327" s="16"/>
      <c r="DG327" s="16"/>
      <c r="DH327" s="16"/>
      <c r="DI327" s="16"/>
      <c r="DJ327" s="16"/>
      <c r="DK327" s="16"/>
      <c r="DL327" s="16"/>
      <c r="DM327" s="16"/>
      <c r="DN327" s="16"/>
      <c r="DO327" s="16"/>
      <c r="DP327" s="16"/>
      <c r="DQ327" s="16"/>
      <c r="DR327" s="16"/>
      <c r="DS327" s="16"/>
      <c r="DT327" s="16"/>
      <c r="DU327" s="16"/>
      <c r="DV327" s="16"/>
    </row>
    <row r="328" spans="102:126">
      <c r="CX328" s="16"/>
      <c r="CY328" s="16"/>
      <c r="CZ328" s="16"/>
      <c r="DA328" s="16"/>
      <c r="DB328" s="16"/>
      <c r="DC328" s="16"/>
      <c r="DD328" s="16"/>
      <c r="DE328" s="16"/>
      <c r="DF328" s="16"/>
      <c r="DG328" s="16"/>
      <c r="DH328" s="16"/>
      <c r="DI328" s="16"/>
      <c r="DJ328" s="16"/>
      <c r="DK328" s="16"/>
      <c r="DL328" s="16"/>
      <c r="DM328" s="16"/>
      <c r="DN328" s="16"/>
      <c r="DO328" s="16"/>
      <c r="DP328" s="16"/>
      <c r="DQ328" s="16"/>
      <c r="DR328" s="16"/>
      <c r="DS328" s="16"/>
      <c r="DT328" s="16"/>
      <c r="DU328" s="16"/>
      <c r="DV328" s="16"/>
    </row>
    <row r="329" spans="102:126">
      <c r="CX329" s="16"/>
      <c r="CY329" s="16"/>
      <c r="CZ329" s="16"/>
      <c r="DA329" s="16"/>
      <c r="DB329" s="16"/>
      <c r="DC329" s="16"/>
      <c r="DD329" s="16"/>
      <c r="DE329" s="16"/>
      <c r="DF329" s="16"/>
      <c r="DG329" s="16"/>
      <c r="DH329" s="16"/>
      <c r="DI329" s="16"/>
      <c r="DJ329" s="16"/>
      <c r="DK329" s="16"/>
      <c r="DL329" s="16"/>
      <c r="DM329" s="16"/>
      <c r="DN329" s="16"/>
      <c r="DO329" s="16"/>
      <c r="DP329" s="16"/>
      <c r="DQ329" s="16"/>
      <c r="DR329" s="16"/>
      <c r="DS329" s="16"/>
      <c r="DT329" s="16"/>
      <c r="DU329" s="16"/>
      <c r="DV329" s="16"/>
    </row>
    <row r="330" spans="102:126">
      <c r="CX330" s="16"/>
      <c r="CY330" s="16"/>
      <c r="CZ330" s="16"/>
      <c r="DA330" s="16"/>
      <c r="DB330" s="16"/>
      <c r="DC330" s="16"/>
      <c r="DD330" s="16"/>
      <c r="DE330" s="16"/>
      <c r="DF330" s="16"/>
      <c r="DG330" s="16"/>
      <c r="DH330" s="16"/>
      <c r="DI330" s="16"/>
      <c r="DJ330" s="16"/>
      <c r="DK330" s="16"/>
      <c r="DL330" s="16"/>
      <c r="DM330" s="16"/>
      <c r="DN330" s="16"/>
      <c r="DO330" s="16"/>
      <c r="DP330" s="16"/>
      <c r="DQ330" s="16"/>
      <c r="DR330" s="16"/>
      <c r="DS330" s="16"/>
      <c r="DT330" s="16"/>
      <c r="DU330" s="16"/>
      <c r="DV330" s="16"/>
    </row>
    <row r="331" spans="102:12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row>
    <row r="332" spans="102:126">
      <c r="CX332" s="16"/>
      <c r="CY332" s="16"/>
      <c r="CZ332" s="16"/>
      <c r="DA332" s="16"/>
      <c r="DB332" s="16"/>
      <c r="DC332" s="16"/>
      <c r="DD332" s="16"/>
      <c r="DE332" s="16"/>
      <c r="DF332" s="16"/>
      <c r="DG332" s="16"/>
      <c r="DH332" s="16"/>
      <c r="DI332" s="16"/>
      <c r="DJ332" s="16"/>
      <c r="DK332" s="16"/>
      <c r="DL332" s="16"/>
      <c r="DM332" s="16"/>
      <c r="DN332" s="16"/>
      <c r="DO332" s="16"/>
      <c r="DP332" s="16"/>
      <c r="DQ332" s="16"/>
      <c r="DR332" s="16"/>
      <c r="DS332" s="16"/>
      <c r="DT332" s="16"/>
      <c r="DU332" s="16"/>
      <c r="DV332" s="16"/>
    </row>
    <row r="333" spans="102:126">
      <c r="CX333" s="16"/>
      <c r="CY333" s="16"/>
      <c r="CZ333" s="16"/>
      <c r="DA333" s="16"/>
      <c r="DB333" s="16"/>
      <c r="DC333" s="16"/>
      <c r="DD333" s="16"/>
      <c r="DE333" s="16"/>
      <c r="DF333" s="16"/>
      <c r="DG333" s="16"/>
      <c r="DH333" s="16"/>
      <c r="DI333" s="16"/>
      <c r="DJ333" s="16"/>
      <c r="DK333" s="16"/>
      <c r="DL333" s="16"/>
      <c r="DM333" s="16"/>
      <c r="DN333" s="16"/>
      <c r="DO333" s="16"/>
      <c r="DP333" s="16"/>
      <c r="DQ333" s="16"/>
      <c r="DR333" s="16"/>
      <c r="DS333" s="16"/>
      <c r="DT333" s="16"/>
      <c r="DU333" s="16"/>
      <c r="DV333" s="16"/>
    </row>
    <row r="334" spans="102:126">
      <c r="CX334" s="16"/>
      <c r="CY334" s="16"/>
      <c r="CZ334" s="16"/>
      <c r="DA334" s="16"/>
      <c r="DB334" s="16"/>
      <c r="DC334" s="16"/>
      <c r="DD334" s="16"/>
      <c r="DE334" s="16"/>
      <c r="DF334" s="16"/>
      <c r="DG334" s="16"/>
      <c r="DH334" s="16"/>
      <c r="DI334" s="16"/>
      <c r="DJ334" s="16"/>
      <c r="DK334" s="16"/>
      <c r="DL334" s="16"/>
      <c r="DM334" s="16"/>
      <c r="DN334" s="16"/>
      <c r="DO334" s="16"/>
      <c r="DP334" s="16"/>
      <c r="DQ334" s="16"/>
      <c r="DR334" s="16"/>
      <c r="DS334" s="16"/>
      <c r="DT334" s="16"/>
      <c r="DU334" s="16"/>
      <c r="DV334" s="16"/>
    </row>
    <row r="335" spans="102:126">
      <c r="CX335" s="16"/>
      <c r="CY335" s="16"/>
      <c r="CZ335" s="16"/>
      <c r="DA335" s="16"/>
      <c r="DB335" s="16"/>
      <c r="DC335" s="16"/>
      <c r="DD335" s="16"/>
      <c r="DE335" s="16"/>
      <c r="DF335" s="16"/>
      <c r="DG335" s="16"/>
      <c r="DH335" s="16"/>
      <c r="DI335" s="16"/>
      <c r="DJ335" s="16"/>
      <c r="DK335" s="16"/>
      <c r="DL335" s="16"/>
      <c r="DM335" s="16"/>
      <c r="DN335" s="16"/>
      <c r="DO335" s="16"/>
      <c r="DP335" s="16"/>
      <c r="DQ335" s="16"/>
      <c r="DR335" s="16"/>
      <c r="DS335" s="16"/>
      <c r="DT335" s="16"/>
      <c r="DU335" s="16"/>
      <c r="DV335" s="16"/>
    </row>
    <row r="336" spans="102:12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row>
    <row r="337" spans="102:126">
      <c r="CX337" s="16"/>
      <c r="CY337" s="16"/>
      <c r="CZ337" s="16"/>
      <c r="DA337" s="16"/>
      <c r="DB337" s="16"/>
      <c r="DC337" s="16"/>
      <c r="DD337" s="16"/>
      <c r="DE337" s="16"/>
      <c r="DF337" s="16"/>
      <c r="DG337" s="16"/>
      <c r="DH337" s="16"/>
      <c r="DI337" s="16"/>
      <c r="DJ337" s="16"/>
      <c r="DK337" s="16"/>
      <c r="DL337" s="16"/>
      <c r="DM337" s="16"/>
      <c r="DN337" s="16"/>
      <c r="DO337" s="16"/>
      <c r="DP337" s="16"/>
      <c r="DQ337" s="16"/>
      <c r="DR337" s="16"/>
      <c r="DS337" s="16"/>
      <c r="DT337" s="16"/>
      <c r="DU337" s="16"/>
      <c r="DV337" s="16"/>
    </row>
    <row r="338" spans="102:126">
      <c r="CX338" s="16"/>
      <c r="CY338" s="16"/>
      <c r="CZ338" s="16"/>
      <c r="DA338" s="16"/>
      <c r="DB338" s="16"/>
      <c r="DC338" s="16"/>
      <c r="DD338" s="16"/>
      <c r="DE338" s="16"/>
      <c r="DF338" s="16"/>
      <c r="DG338" s="16"/>
      <c r="DH338" s="16"/>
      <c r="DI338" s="16"/>
      <c r="DJ338" s="16"/>
      <c r="DK338" s="16"/>
      <c r="DL338" s="16"/>
      <c r="DM338" s="16"/>
      <c r="DN338" s="16"/>
      <c r="DO338" s="16"/>
      <c r="DP338" s="16"/>
      <c r="DQ338" s="16"/>
      <c r="DR338" s="16"/>
      <c r="DS338" s="16"/>
      <c r="DT338" s="16"/>
      <c r="DU338" s="16"/>
      <c r="DV338" s="16"/>
    </row>
    <row r="339" spans="102:126">
      <c r="CX339" s="16"/>
      <c r="CY339" s="16"/>
      <c r="CZ339" s="16"/>
      <c r="DA339" s="16"/>
      <c r="DB339" s="16"/>
      <c r="DC339" s="16"/>
      <c r="DD339" s="16"/>
      <c r="DE339" s="16"/>
      <c r="DF339" s="16"/>
      <c r="DG339" s="16"/>
      <c r="DH339" s="16"/>
      <c r="DI339" s="16"/>
      <c r="DJ339" s="16"/>
      <c r="DK339" s="16"/>
      <c r="DL339" s="16"/>
      <c r="DM339" s="16"/>
      <c r="DN339" s="16"/>
      <c r="DO339" s="16"/>
      <c r="DP339" s="16"/>
      <c r="DQ339" s="16"/>
      <c r="DR339" s="16"/>
      <c r="DS339" s="16"/>
      <c r="DT339" s="16"/>
      <c r="DU339" s="16"/>
      <c r="DV339" s="16"/>
    </row>
    <row r="340" spans="102:126">
      <c r="CX340" s="16"/>
      <c r="CY340" s="16"/>
      <c r="CZ340" s="16"/>
      <c r="DA340" s="16"/>
      <c r="DB340" s="16"/>
      <c r="DC340" s="16"/>
      <c r="DD340" s="16"/>
      <c r="DE340" s="16"/>
      <c r="DF340" s="16"/>
      <c r="DG340" s="16"/>
      <c r="DH340" s="16"/>
      <c r="DI340" s="16"/>
      <c r="DJ340" s="16"/>
      <c r="DK340" s="16"/>
      <c r="DL340" s="16"/>
      <c r="DM340" s="16"/>
      <c r="DN340" s="16"/>
      <c r="DO340" s="16"/>
      <c r="DP340" s="16"/>
      <c r="DQ340" s="16"/>
      <c r="DR340" s="16"/>
      <c r="DS340" s="16"/>
      <c r="DT340" s="16"/>
      <c r="DU340" s="16"/>
      <c r="DV340" s="16"/>
    </row>
    <row r="341" spans="102:126">
      <c r="CX341" s="16"/>
      <c r="CY341" s="16"/>
      <c r="CZ341" s="16"/>
      <c r="DA341" s="16"/>
      <c r="DB341" s="16"/>
      <c r="DC341" s="16"/>
      <c r="DD341" s="16"/>
      <c r="DE341" s="16"/>
      <c r="DF341" s="16"/>
      <c r="DG341" s="16"/>
      <c r="DH341" s="16"/>
      <c r="DI341" s="16"/>
      <c r="DJ341" s="16"/>
      <c r="DK341" s="16"/>
      <c r="DL341" s="16"/>
      <c r="DM341" s="16"/>
      <c r="DN341" s="16"/>
      <c r="DO341" s="16"/>
      <c r="DP341" s="16"/>
      <c r="DQ341" s="16"/>
      <c r="DR341" s="16"/>
      <c r="DS341" s="16"/>
      <c r="DT341" s="16"/>
      <c r="DU341" s="16"/>
      <c r="DV341" s="16"/>
    </row>
    <row r="342" spans="102:12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16"/>
    </row>
    <row r="343" spans="102:126">
      <c r="CX343" s="16"/>
      <c r="CY343" s="16"/>
      <c r="CZ343" s="16"/>
      <c r="DA343" s="16"/>
      <c r="DB343" s="16"/>
      <c r="DC343" s="16"/>
      <c r="DD343" s="16"/>
      <c r="DE343" s="16"/>
      <c r="DF343" s="16"/>
      <c r="DG343" s="16"/>
      <c r="DH343" s="16"/>
      <c r="DI343" s="16"/>
      <c r="DJ343" s="16"/>
      <c r="DK343" s="16"/>
      <c r="DL343" s="16"/>
      <c r="DM343" s="16"/>
      <c r="DN343" s="16"/>
      <c r="DO343" s="16"/>
      <c r="DP343" s="16"/>
      <c r="DQ343" s="16"/>
      <c r="DR343" s="16"/>
      <c r="DS343" s="16"/>
      <c r="DT343" s="16"/>
      <c r="DU343" s="16"/>
      <c r="DV343" s="16"/>
    </row>
    <row r="344" spans="102:126">
      <c r="CX344" s="16"/>
      <c r="CY344" s="16"/>
      <c r="CZ344" s="16"/>
      <c r="DA344" s="16"/>
      <c r="DB344" s="16"/>
      <c r="DC344" s="16"/>
      <c r="DD344" s="16"/>
      <c r="DE344" s="16"/>
      <c r="DF344" s="16"/>
      <c r="DG344" s="16"/>
      <c r="DH344" s="16"/>
      <c r="DI344" s="16"/>
      <c r="DJ344" s="16"/>
      <c r="DK344" s="16"/>
      <c r="DL344" s="16"/>
      <c r="DM344" s="16"/>
      <c r="DN344" s="16"/>
      <c r="DO344" s="16"/>
      <c r="DP344" s="16"/>
      <c r="DQ344" s="16"/>
      <c r="DR344" s="16"/>
      <c r="DS344" s="16"/>
      <c r="DT344" s="16"/>
      <c r="DU344" s="16"/>
      <c r="DV344" s="16"/>
    </row>
    <row r="345" spans="102:126">
      <c r="CX345" s="16"/>
      <c r="CY345" s="16"/>
      <c r="CZ345" s="16"/>
      <c r="DA345" s="16"/>
      <c r="DB345" s="16"/>
      <c r="DC345" s="16"/>
      <c r="DD345" s="16"/>
      <c r="DE345" s="16"/>
      <c r="DF345" s="16"/>
      <c r="DG345" s="16"/>
      <c r="DH345" s="16"/>
      <c r="DI345" s="16"/>
      <c r="DJ345" s="16"/>
      <c r="DK345" s="16"/>
      <c r="DL345" s="16"/>
      <c r="DM345" s="16"/>
      <c r="DN345" s="16"/>
      <c r="DO345" s="16"/>
      <c r="DP345" s="16"/>
      <c r="DQ345" s="16"/>
      <c r="DR345" s="16"/>
      <c r="DS345" s="16"/>
      <c r="DT345" s="16"/>
      <c r="DU345" s="16"/>
      <c r="DV345" s="16"/>
    </row>
    <row r="346" spans="102:126">
      <c r="CX346" s="16"/>
      <c r="CY346" s="16"/>
      <c r="CZ346" s="16"/>
      <c r="DA346" s="16"/>
      <c r="DB346" s="16"/>
      <c r="DC346" s="16"/>
      <c r="DD346" s="16"/>
      <c r="DE346" s="16"/>
      <c r="DF346" s="16"/>
      <c r="DG346" s="16"/>
      <c r="DH346" s="16"/>
      <c r="DI346" s="16"/>
      <c r="DJ346" s="16"/>
      <c r="DK346" s="16"/>
      <c r="DL346" s="16"/>
      <c r="DM346" s="16"/>
      <c r="DN346" s="16"/>
      <c r="DO346" s="16"/>
      <c r="DP346" s="16"/>
      <c r="DQ346" s="16"/>
      <c r="DR346" s="16"/>
      <c r="DS346" s="16"/>
      <c r="DT346" s="16"/>
      <c r="DU346" s="16"/>
      <c r="DV346" s="16"/>
    </row>
    <row r="347" spans="102:126">
      <c r="CX347" s="16"/>
      <c r="CY347" s="16"/>
      <c r="CZ347" s="16"/>
      <c r="DA347" s="16"/>
      <c r="DB347" s="16"/>
      <c r="DC347" s="16"/>
      <c r="DD347" s="16"/>
      <c r="DE347" s="16"/>
      <c r="DF347" s="16"/>
      <c r="DG347" s="16"/>
      <c r="DH347" s="16"/>
      <c r="DI347" s="16"/>
      <c r="DJ347" s="16"/>
      <c r="DK347" s="16"/>
      <c r="DL347" s="16"/>
      <c r="DM347" s="16"/>
      <c r="DN347" s="16"/>
      <c r="DO347" s="16"/>
      <c r="DP347" s="16"/>
      <c r="DQ347" s="16"/>
      <c r="DR347" s="16"/>
      <c r="DS347" s="16"/>
      <c r="DT347" s="16"/>
      <c r="DU347" s="16"/>
      <c r="DV347" s="16"/>
    </row>
    <row r="348" spans="102:126">
      <c r="CX348" s="16"/>
      <c r="CY348" s="16"/>
      <c r="CZ348" s="16"/>
      <c r="DA348" s="16"/>
      <c r="DB348" s="16"/>
      <c r="DC348" s="16"/>
      <c r="DD348" s="16"/>
      <c r="DE348" s="16"/>
      <c r="DF348" s="16"/>
      <c r="DG348" s="16"/>
      <c r="DH348" s="16"/>
      <c r="DI348" s="16"/>
      <c r="DJ348" s="16"/>
      <c r="DK348" s="16"/>
      <c r="DL348" s="16"/>
      <c r="DM348" s="16"/>
      <c r="DN348" s="16"/>
      <c r="DO348" s="16"/>
      <c r="DP348" s="16"/>
      <c r="DQ348" s="16"/>
      <c r="DR348" s="16"/>
      <c r="DS348" s="16"/>
      <c r="DT348" s="16"/>
      <c r="DU348" s="16"/>
      <c r="DV348" s="16"/>
    </row>
    <row r="349" spans="102:126">
      <c r="CX349" s="16"/>
      <c r="CY349" s="16"/>
      <c r="CZ349" s="16"/>
      <c r="DA349" s="16"/>
      <c r="DB349" s="16"/>
      <c r="DC349" s="16"/>
      <c r="DD349" s="16"/>
      <c r="DE349" s="16"/>
      <c r="DF349" s="16"/>
      <c r="DG349" s="16"/>
      <c r="DH349" s="16"/>
      <c r="DI349" s="16"/>
      <c r="DJ349" s="16"/>
      <c r="DK349" s="16"/>
      <c r="DL349" s="16"/>
      <c r="DM349" s="16"/>
      <c r="DN349" s="16"/>
      <c r="DO349" s="16"/>
      <c r="DP349" s="16"/>
      <c r="DQ349" s="16"/>
      <c r="DR349" s="16"/>
      <c r="DS349" s="16"/>
      <c r="DT349" s="16"/>
      <c r="DU349" s="16"/>
      <c r="DV349" s="16"/>
    </row>
    <row r="350" spans="102:126">
      <c r="CX350" s="16"/>
      <c r="CY350" s="16"/>
      <c r="CZ350" s="16"/>
      <c r="DA350" s="16"/>
      <c r="DB350" s="16"/>
      <c r="DC350" s="16"/>
      <c r="DD350" s="16"/>
      <c r="DE350" s="16"/>
      <c r="DF350" s="16"/>
      <c r="DG350" s="16"/>
      <c r="DH350" s="16"/>
      <c r="DI350" s="16"/>
      <c r="DJ350" s="16"/>
      <c r="DK350" s="16"/>
      <c r="DL350" s="16"/>
      <c r="DM350" s="16"/>
      <c r="DN350" s="16"/>
      <c r="DO350" s="16"/>
      <c r="DP350" s="16"/>
      <c r="DQ350" s="16"/>
      <c r="DR350" s="16"/>
      <c r="DS350" s="16"/>
      <c r="DT350" s="16"/>
      <c r="DU350" s="16"/>
      <c r="DV350" s="16"/>
    </row>
    <row r="351" spans="102:126">
      <c r="CX351" s="16"/>
      <c r="CY351" s="16"/>
      <c r="CZ351" s="16"/>
      <c r="DA351" s="16"/>
      <c r="DB351" s="16"/>
      <c r="DC351" s="16"/>
      <c r="DD351" s="16"/>
      <c r="DE351" s="16"/>
      <c r="DF351" s="16"/>
      <c r="DG351" s="16"/>
      <c r="DH351" s="16"/>
      <c r="DI351" s="16"/>
      <c r="DJ351" s="16"/>
      <c r="DK351" s="16"/>
      <c r="DL351" s="16"/>
      <c r="DM351" s="16"/>
      <c r="DN351" s="16"/>
      <c r="DO351" s="16"/>
      <c r="DP351" s="16"/>
      <c r="DQ351" s="16"/>
      <c r="DR351" s="16"/>
      <c r="DS351" s="16"/>
      <c r="DT351" s="16"/>
      <c r="DU351" s="16"/>
      <c r="DV351" s="16"/>
    </row>
    <row r="352" spans="102:126">
      <c r="CX352" s="16"/>
      <c r="CY352" s="16"/>
      <c r="CZ352" s="16"/>
      <c r="DA352" s="16"/>
      <c r="DB352" s="16"/>
      <c r="DC352" s="16"/>
      <c r="DD352" s="16"/>
      <c r="DE352" s="16"/>
      <c r="DF352" s="16"/>
      <c r="DG352" s="16"/>
      <c r="DH352" s="16"/>
      <c r="DI352" s="16"/>
      <c r="DJ352" s="16"/>
      <c r="DK352" s="16"/>
      <c r="DL352" s="16"/>
      <c r="DM352" s="16"/>
      <c r="DN352" s="16"/>
      <c r="DO352" s="16"/>
      <c r="DP352" s="16"/>
      <c r="DQ352" s="16"/>
      <c r="DR352" s="16"/>
      <c r="DS352" s="16"/>
      <c r="DT352" s="16"/>
      <c r="DU352" s="16"/>
      <c r="DV352" s="16"/>
    </row>
    <row r="353" spans="102:126">
      <c r="CX353" s="16"/>
      <c r="CY353" s="16"/>
      <c r="CZ353" s="16"/>
      <c r="DA353" s="16"/>
      <c r="DB353" s="16"/>
      <c r="DC353" s="16"/>
      <c r="DD353" s="16"/>
      <c r="DE353" s="16"/>
      <c r="DF353" s="16"/>
      <c r="DG353" s="16"/>
      <c r="DH353" s="16"/>
      <c r="DI353" s="16"/>
      <c r="DJ353" s="16"/>
      <c r="DK353" s="16"/>
      <c r="DL353" s="16"/>
      <c r="DM353" s="16"/>
      <c r="DN353" s="16"/>
      <c r="DO353" s="16"/>
      <c r="DP353" s="16"/>
      <c r="DQ353" s="16"/>
      <c r="DR353" s="16"/>
      <c r="DS353" s="16"/>
      <c r="DT353" s="16"/>
      <c r="DU353" s="16"/>
      <c r="DV353" s="16"/>
    </row>
    <row r="354" spans="102:126">
      <c r="CX354" s="16"/>
      <c r="CY354" s="16"/>
      <c r="CZ354" s="16"/>
      <c r="DA354" s="16"/>
      <c r="DB354" s="16"/>
      <c r="DC354" s="16"/>
      <c r="DD354" s="16"/>
      <c r="DE354" s="16"/>
      <c r="DF354" s="16"/>
      <c r="DG354" s="16"/>
      <c r="DH354" s="16"/>
      <c r="DI354" s="16"/>
      <c r="DJ354" s="16"/>
      <c r="DK354" s="16"/>
      <c r="DL354" s="16"/>
      <c r="DM354" s="16"/>
      <c r="DN354" s="16"/>
      <c r="DO354" s="16"/>
      <c r="DP354" s="16"/>
      <c r="DQ354" s="16"/>
      <c r="DR354" s="16"/>
      <c r="DS354" s="16"/>
      <c r="DT354" s="16"/>
      <c r="DU354" s="16"/>
      <c r="DV354" s="16"/>
    </row>
    <row r="355" spans="102:126">
      <c r="CX355" s="16"/>
      <c r="CY355" s="16"/>
      <c r="CZ355" s="16"/>
      <c r="DA355" s="16"/>
      <c r="DB355" s="16"/>
      <c r="DC355" s="16"/>
      <c r="DD355" s="16"/>
      <c r="DE355" s="16"/>
      <c r="DF355" s="16"/>
      <c r="DG355" s="16"/>
      <c r="DH355" s="16"/>
      <c r="DI355" s="16"/>
      <c r="DJ355" s="16"/>
      <c r="DK355" s="16"/>
      <c r="DL355" s="16"/>
      <c r="DM355" s="16"/>
      <c r="DN355" s="16"/>
      <c r="DO355" s="16"/>
      <c r="DP355" s="16"/>
      <c r="DQ355" s="16"/>
      <c r="DR355" s="16"/>
      <c r="DS355" s="16"/>
      <c r="DT355" s="16"/>
      <c r="DU355" s="16"/>
      <c r="DV355" s="16"/>
    </row>
    <row r="356" spans="102:126">
      <c r="CX356" s="16"/>
      <c r="CY356" s="16"/>
      <c r="CZ356" s="16"/>
      <c r="DA356" s="16"/>
      <c r="DB356" s="16"/>
      <c r="DC356" s="16"/>
      <c r="DD356" s="16"/>
      <c r="DE356" s="16"/>
      <c r="DF356" s="16"/>
      <c r="DG356" s="16"/>
      <c r="DH356" s="16"/>
      <c r="DI356" s="16"/>
      <c r="DJ356" s="16"/>
      <c r="DK356" s="16"/>
      <c r="DL356" s="16"/>
      <c r="DM356" s="16"/>
      <c r="DN356" s="16"/>
      <c r="DO356" s="16"/>
      <c r="DP356" s="16"/>
      <c r="DQ356" s="16"/>
      <c r="DR356" s="16"/>
      <c r="DS356" s="16"/>
      <c r="DT356" s="16"/>
      <c r="DU356" s="16"/>
      <c r="DV356" s="16"/>
    </row>
    <row r="357" spans="102:126">
      <c r="CX357" s="16"/>
      <c r="CY357" s="16"/>
      <c r="CZ357" s="16"/>
      <c r="DA357" s="16"/>
      <c r="DB357" s="16"/>
      <c r="DC357" s="16"/>
      <c r="DD357" s="16"/>
      <c r="DE357" s="16"/>
      <c r="DF357" s="16"/>
      <c r="DG357" s="16"/>
      <c r="DH357" s="16"/>
      <c r="DI357" s="16"/>
      <c r="DJ357" s="16"/>
      <c r="DK357" s="16"/>
      <c r="DL357" s="16"/>
      <c r="DM357" s="16"/>
      <c r="DN357" s="16"/>
      <c r="DO357" s="16"/>
      <c r="DP357" s="16"/>
      <c r="DQ357" s="16"/>
      <c r="DR357" s="16"/>
      <c r="DS357" s="16"/>
      <c r="DT357" s="16"/>
      <c r="DU357" s="16"/>
      <c r="DV357" s="16"/>
    </row>
    <row r="358" spans="102:126">
      <c r="CX358" s="16"/>
      <c r="CY358" s="16"/>
      <c r="CZ358" s="16"/>
      <c r="DA358" s="16"/>
      <c r="DB358" s="16"/>
      <c r="DC358" s="16"/>
      <c r="DD358" s="16"/>
      <c r="DE358" s="16"/>
      <c r="DF358" s="16"/>
      <c r="DG358" s="16"/>
      <c r="DH358" s="16"/>
      <c r="DI358" s="16"/>
      <c r="DJ358" s="16"/>
      <c r="DK358" s="16"/>
      <c r="DL358" s="16"/>
      <c r="DM358" s="16"/>
      <c r="DN358" s="16"/>
      <c r="DO358" s="16"/>
      <c r="DP358" s="16"/>
      <c r="DQ358" s="16"/>
      <c r="DR358" s="16"/>
      <c r="DS358" s="16"/>
      <c r="DT358" s="16"/>
      <c r="DU358" s="16"/>
      <c r="DV358" s="16"/>
    </row>
    <row r="359" spans="102:126">
      <c r="CX359" s="16"/>
      <c r="CY359" s="16"/>
      <c r="CZ359" s="16"/>
      <c r="DA359" s="16"/>
      <c r="DB359" s="16"/>
      <c r="DC359" s="16"/>
      <c r="DD359" s="16"/>
      <c r="DE359" s="16"/>
      <c r="DF359" s="16"/>
      <c r="DG359" s="16"/>
      <c r="DH359" s="16"/>
      <c r="DI359" s="16"/>
      <c r="DJ359" s="16"/>
      <c r="DK359" s="16"/>
      <c r="DL359" s="16"/>
      <c r="DM359" s="16"/>
      <c r="DN359" s="16"/>
      <c r="DO359" s="16"/>
      <c r="DP359" s="16"/>
      <c r="DQ359" s="16"/>
      <c r="DR359" s="16"/>
      <c r="DS359" s="16"/>
      <c r="DT359" s="16"/>
      <c r="DU359" s="16"/>
      <c r="DV359" s="16"/>
    </row>
    <row r="360" spans="102:126">
      <c r="CX360" s="16"/>
      <c r="CY360" s="16"/>
      <c r="CZ360" s="16"/>
      <c r="DA360" s="16"/>
      <c r="DB360" s="16"/>
      <c r="DC360" s="16"/>
      <c r="DD360" s="16"/>
      <c r="DE360" s="16"/>
      <c r="DF360" s="16"/>
      <c r="DG360" s="16"/>
      <c r="DH360" s="16"/>
      <c r="DI360" s="16"/>
      <c r="DJ360" s="16"/>
      <c r="DK360" s="16"/>
      <c r="DL360" s="16"/>
      <c r="DM360" s="16"/>
      <c r="DN360" s="16"/>
      <c r="DO360" s="16"/>
      <c r="DP360" s="16"/>
      <c r="DQ360" s="16"/>
      <c r="DR360" s="16"/>
      <c r="DS360" s="16"/>
      <c r="DT360" s="16"/>
      <c r="DU360" s="16"/>
      <c r="DV360" s="16"/>
    </row>
    <row r="361" spans="102:126">
      <c r="CX361" s="16"/>
      <c r="CY361" s="16"/>
      <c r="CZ361" s="16"/>
      <c r="DA361" s="16"/>
      <c r="DB361" s="16"/>
      <c r="DC361" s="16"/>
      <c r="DD361" s="16"/>
      <c r="DE361" s="16"/>
      <c r="DF361" s="16"/>
      <c r="DG361" s="16"/>
      <c r="DH361" s="16"/>
      <c r="DI361" s="16"/>
      <c r="DJ361" s="16"/>
      <c r="DK361" s="16"/>
      <c r="DL361" s="16"/>
      <c r="DM361" s="16"/>
      <c r="DN361" s="16"/>
      <c r="DO361" s="16"/>
      <c r="DP361" s="16"/>
      <c r="DQ361" s="16"/>
      <c r="DR361" s="16"/>
      <c r="DS361" s="16"/>
      <c r="DT361" s="16"/>
      <c r="DU361" s="16"/>
      <c r="DV361" s="16"/>
    </row>
    <row r="362" spans="102:126">
      <c r="CX362" s="16"/>
      <c r="CY362" s="16"/>
      <c r="CZ362" s="16"/>
      <c r="DA362" s="16"/>
      <c r="DB362" s="16"/>
      <c r="DC362" s="16"/>
      <c r="DD362" s="16"/>
      <c r="DE362" s="16"/>
      <c r="DF362" s="16"/>
      <c r="DG362" s="16"/>
      <c r="DH362" s="16"/>
      <c r="DI362" s="16"/>
      <c r="DJ362" s="16"/>
      <c r="DK362" s="16"/>
      <c r="DL362" s="16"/>
      <c r="DM362" s="16"/>
      <c r="DN362" s="16"/>
      <c r="DO362" s="16"/>
      <c r="DP362" s="16"/>
      <c r="DQ362" s="16"/>
      <c r="DR362" s="16"/>
      <c r="DS362" s="16"/>
      <c r="DT362" s="16"/>
      <c r="DU362" s="16"/>
      <c r="DV362" s="16"/>
    </row>
    <row r="363" spans="102:126">
      <c r="CX363" s="16"/>
      <c r="CY363" s="16"/>
      <c r="CZ363" s="16"/>
      <c r="DA363" s="16"/>
      <c r="DB363" s="16"/>
      <c r="DC363" s="16"/>
      <c r="DD363" s="16"/>
      <c r="DE363" s="16"/>
      <c r="DF363" s="16"/>
      <c r="DG363" s="16"/>
      <c r="DH363" s="16"/>
      <c r="DI363" s="16"/>
      <c r="DJ363" s="16"/>
      <c r="DK363" s="16"/>
      <c r="DL363" s="16"/>
      <c r="DM363" s="16"/>
      <c r="DN363" s="16"/>
      <c r="DO363" s="16"/>
      <c r="DP363" s="16"/>
      <c r="DQ363" s="16"/>
      <c r="DR363" s="16"/>
      <c r="DS363" s="16"/>
      <c r="DT363" s="16"/>
      <c r="DU363" s="16"/>
      <c r="DV363" s="16"/>
    </row>
    <row r="364" spans="102:126">
      <c r="CX364" s="16"/>
      <c r="CY364" s="16"/>
      <c r="CZ364" s="16"/>
      <c r="DA364" s="16"/>
      <c r="DB364" s="16"/>
      <c r="DC364" s="16"/>
      <c r="DD364" s="16"/>
      <c r="DE364" s="16"/>
      <c r="DF364" s="16"/>
      <c r="DG364" s="16"/>
      <c r="DH364" s="16"/>
      <c r="DI364" s="16"/>
      <c r="DJ364" s="16"/>
      <c r="DK364" s="16"/>
      <c r="DL364" s="16"/>
      <c r="DM364" s="16"/>
      <c r="DN364" s="16"/>
      <c r="DO364" s="16"/>
      <c r="DP364" s="16"/>
      <c r="DQ364" s="16"/>
      <c r="DR364" s="16"/>
      <c r="DS364" s="16"/>
      <c r="DT364" s="16"/>
      <c r="DU364" s="16"/>
      <c r="DV364" s="16"/>
    </row>
    <row r="365" spans="102:126">
      <c r="CX365" s="16"/>
      <c r="CY365" s="16"/>
      <c r="CZ365" s="16"/>
      <c r="DA365" s="16"/>
      <c r="DB365" s="16"/>
      <c r="DC365" s="16"/>
      <c r="DD365" s="16"/>
      <c r="DE365" s="16"/>
      <c r="DF365" s="16"/>
      <c r="DG365" s="16"/>
      <c r="DH365" s="16"/>
      <c r="DI365" s="16"/>
      <c r="DJ365" s="16"/>
      <c r="DK365" s="16"/>
      <c r="DL365" s="16"/>
      <c r="DM365" s="16"/>
      <c r="DN365" s="16"/>
      <c r="DO365" s="16"/>
      <c r="DP365" s="16"/>
      <c r="DQ365" s="16"/>
      <c r="DR365" s="16"/>
      <c r="DS365" s="16"/>
      <c r="DT365" s="16"/>
      <c r="DU365" s="16"/>
      <c r="DV365" s="16"/>
    </row>
    <row r="366" spans="102:126">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16"/>
    </row>
    <row r="367" spans="102:126">
      <c r="CX367" s="16"/>
      <c r="CY367" s="16"/>
      <c r="CZ367" s="16"/>
      <c r="DA367" s="16"/>
      <c r="DB367" s="16"/>
      <c r="DC367" s="16"/>
      <c r="DD367" s="16"/>
      <c r="DE367" s="16"/>
      <c r="DF367" s="16"/>
      <c r="DG367" s="16"/>
      <c r="DH367" s="16"/>
      <c r="DI367" s="16"/>
      <c r="DJ367" s="16"/>
      <c r="DK367" s="16"/>
      <c r="DL367" s="16"/>
      <c r="DM367" s="16"/>
      <c r="DN367" s="16"/>
      <c r="DO367" s="16"/>
      <c r="DP367" s="16"/>
      <c r="DQ367" s="16"/>
      <c r="DR367" s="16"/>
      <c r="DS367" s="16"/>
      <c r="DT367" s="16"/>
      <c r="DU367" s="16"/>
      <c r="DV367" s="16"/>
    </row>
    <row r="368" spans="102:126">
      <c r="CX368" s="16"/>
      <c r="CY368" s="16"/>
      <c r="CZ368" s="16"/>
      <c r="DA368" s="16"/>
      <c r="DB368" s="16"/>
      <c r="DC368" s="16"/>
      <c r="DD368" s="16"/>
      <c r="DE368" s="16"/>
      <c r="DF368" s="16"/>
      <c r="DG368" s="16"/>
      <c r="DH368" s="16"/>
      <c r="DI368" s="16"/>
      <c r="DJ368" s="16"/>
      <c r="DK368" s="16"/>
      <c r="DL368" s="16"/>
      <c r="DM368" s="16"/>
      <c r="DN368" s="16"/>
      <c r="DO368" s="16"/>
      <c r="DP368" s="16"/>
      <c r="DQ368" s="16"/>
      <c r="DR368" s="16"/>
      <c r="DS368" s="16"/>
      <c r="DT368" s="16"/>
      <c r="DU368" s="16"/>
      <c r="DV368" s="16"/>
    </row>
    <row r="369" spans="102:126">
      <c r="CX369" s="16"/>
      <c r="CY369" s="16"/>
      <c r="CZ369" s="16"/>
      <c r="DA369" s="16"/>
      <c r="DB369" s="16"/>
      <c r="DC369" s="16"/>
      <c r="DD369" s="16"/>
      <c r="DE369" s="16"/>
      <c r="DF369" s="16"/>
      <c r="DG369" s="16"/>
      <c r="DH369" s="16"/>
      <c r="DI369" s="16"/>
      <c r="DJ369" s="16"/>
      <c r="DK369" s="16"/>
      <c r="DL369" s="16"/>
      <c r="DM369" s="16"/>
      <c r="DN369" s="16"/>
      <c r="DO369" s="16"/>
      <c r="DP369" s="16"/>
      <c r="DQ369" s="16"/>
      <c r="DR369" s="16"/>
      <c r="DS369" s="16"/>
      <c r="DT369" s="16"/>
      <c r="DU369" s="16"/>
      <c r="DV369" s="16"/>
    </row>
    <row r="370" spans="102:126">
      <c r="CX370" s="16"/>
      <c r="CY370" s="16"/>
      <c r="CZ370" s="16"/>
      <c r="DA370" s="16"/>
      <c r="DB370" s="16"/>
      <c r="DC370" s="16"/>
      <c r="DD370" s="16"/>
      <c r="DE370" s="16"/>
      <c r="DF370" s="16"/>
      <c r="DG370" s="16"/>
      <c r="DH370" s="16"/>
      <c r="DI370" s="16"/>
      <c r="DJ370" s="16"/>
      <c r="DK370" s="16"/>
      <c r="DL370" s="16"/>
      <c r="DM370" s="16"/>
      <c r="DN370" s="16"/>
      <c r="DO370" s="16"/>
      <c r="DP370" s="16"/>
      <c r="DQ370" s="16"/>
      <c r="DR370" s="16"/>
      <c r="DS370" s="16"/>
      <c r="DT370" s="16"/>
      <c r="DU370" s="16"/>
      <c r="DV370" s="16"/>
    </row>
    <row r="371" spans="102:126">
      <c r="CX371" s="16"/>
      <c r="CY371" s="16"/>
      <c r="CZ371" s="16"/>
      <c r="DA371" s="16"/>
      <c r="DB371" s="16"/>
      <c r="DC371" s="16"/>
      <c r="DD371" s="16"/>
      <c r="DE371" s="16"/>
      <c r="DF371" s="16"/>
      <c r="DG371" s="16"/>
      <c r="DH371" s="16"/>
      <c r="DI371" s="16"/>
      <c r="DJ371" s="16"/>
      <c r="DK371" s="16"/>
      <c r="DL371" s="16"/>
      <c r="DM371" s="16"/>
      <c r="DN371" s="16"/>
      <c r="DO371" s="16"/>
      <c r="DP371" s="16"/>
      <c r="DQ371" s="16"/>
      <c r="DR371" s="16"/>
      <c r="DS371" s="16"/>
      <c r="DT371" s="16"/>
      <c r="DU371" s="16"/>
      <c r="DV371" s="16"/>
    </row>
    <row r="372" spans="102:126">
      <c r="CX372" s="16"/>
      <c r="CY372" s="16"/>
      <c r="CZ372" s="16"/>
      <c r="DA372" s="16"/>
      <c r="DB372" s="16"/>
      <c r="DC372" s="16"/>
      <c r="DD372" s="16"/>
      <c r="DE372" s="16"/>
      <c r="DF372" s="16"/>
      <c r="DG372" s="16"/>
      <c r="DH372" s="16"/>
      <c r="DI372" s="16"/>
      <c r="DJ372" s="16"/>
      <c r="DK372" s="16"/>
      <c r="DL372" s="16"/>
      <c r="DM372" s="16"/>
      <c r="DN372" s="16"/>
      <c r="DO372" s="16"/>
      <c r="DP372" s="16"/>
      <c r="DQ372" s="16"/>
      <c r="DR372" s="16"/>
      <c r="DS372" s="16"/>
      <c r="DT372" s="16"/>
      <c r="DU372" s="16"/>
      <c r="DV372" s="16"/>
    </row>
    <row r="373" spans="102:126">
      <c r="CX373" s="16"/>
      <c r="CY373" s="16"/>
      <c r="CZ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row>
    <row r="374" spans="102:126">
      <c r="CX374" s="16"/>
      <c r="CY374" s="16"/>
      <c r="CZ374" s="16"/>
      <c r="DA374" s="16"/>
      <c r="DB374" s="16"/>
      <c r="DC374" s="16"/>
      <c r="DD374" s="16"/>
      <c r="DE374" s="16"/>
      <c r="DF374" s="16"/>
      <c r="DG374" s="16"/>
      <c r="DH374" s="16"/>
      <c r="DI374" s="16"/>
      <c r="DJ374" s="16"/>
      <c r="DK374" s="16"/>
      <c r="DL374" s="16"/>
      <c r="DM374" s="16"/>
      <c r="DN374" s="16"/>
      <c r="DO374" s="16"/>
      <c r="DP374" s="16"/>
      <c r="DQ374" s="16"/>
      <c r="DR374" s="16"/>
      <c r="DS374" s="16"/>
      <c r="DT374" s="16"/>
      <c r="DU374" s="16"/>
      <c r="DV374" s="16"/>
    </row>
    <row r="375" spans="102:126">
      <c r="CX375" s="15"/>
      <c r="CY375" s="15"/>
      <c r="CZ375" s="15"/>
      <c r="DA375" s="15"/>
      <c r="DB375" s="15"/>
      <c r="DC375" s="15"/>
      <c r="DD375" s="15"/>
      <c r="DE375" s="15"/>
      <c r="DF375" s="15"/>
      <c r="DG375" s="15"/>
      <c r="DH375" s="15"/>
      <c r="DI375" s="15"/>
      <c r="DJ375" s="15"/>
      <c r="DK375" s="15"/>
      <c r="DL375" s="15"/>
      <c r="DM375" s="15"/>
      <c r="DN375" s="15"/>
      <c r="DO375" s="15"/>
      <c r="DP375" s="15"/>
      <c r="DQ375" s="15"/>
      <c r="DR375" s="15"/>
      <c r="DS375" s="15"/>
      <c r="DT375" s="15"/>
      <c r="DU375" s="15"/>
      <c r="DV375" s="15"/>
    </row>
    <row r="376" spans="102:126">
      <c r="CX376" s="15"/>
      <c r="CY376" s="15"/>
      <c r="CZ376" s="15"/>
      <c r="DA376" s="15"/>
      <c r="DB376" s="15"/>
      <c r="DC376" s="15"/>
      <c r="DD376" s="15"/>
      <c r="DE376" s="15"/>
      <c r="DF376" s="15"/>
      <c r="DG376" s="15"/>
      <c r="DH376" s="15"/>
      <c r="DI376" s="15"/>
      <c r="DJ376" s="15"/>
      <c r="DK376" s="15"/>
      <c r="DL376" s="15"/>
      <c r="DM376" s="15"/>
      <c r="DN376" s="15"/>
      <c r="DO376" s="15"/>
      <c r="DP376" s="15"/>
      <c r="DQ376" s="15"/>
      <c r="DR376" s="15"/>
      <c r="DS376" s="15"/>
      <c r="DT376" s="15"/>
      <c r="DU376" s="15"/>
      <c r="DV376" s="15"/>
    </row>
    <row r="377" spans="102:126">
      <c r="CX377" s="15"/>
      <c r="CY377" s="15"/>
      <c r="CZ377" s="15"/>
      <c r="DA377" s="15"/>
      <c r="DB377" s="15"/>
      <c r="DC377" s="15"/>
      <c r="DD377" s="15"/>
      <c r="DE377" s="15"/>
      <c r="DF377" s="15"/>
      <c r="DG377" s="15"/>
      <c r="DH377" s="15"/>
      <c r="DI377" s="15"/>
      <c r="DJ377" s="15"/>
      <c r="DK377" s="15"/>
      <c r="DL377" s="15"/>
      <c r="DM377" s="15"/>
      <c r="DN377" s="15"/>
      <c r="DO377" s="15"/>
      <c r="DP377" s="15"/>
      <c r="DQ377" s="15"/>
      <c r="DR377" s="15"/>
      <c r="DS377" s="15"/>
      <c r="DT377" s="15"/>
      <c r="DU377" s="15"/>
      <c r="DV377" s="15"/>
    </row>
    <row r="378" spans="102:126">
      <c r="CX378" s="15"/>
      <c r="CY378" s="15"/>
      <c r="CZ378" s="15"/>
      <c r="DA378" s="15"/>
      <c r="DB378" s="15"/>
      <c r="DC378" s="15"/>
      <c r="DD378" s="15"/>
      <c r="DE378" s="15"/>
      <c r="DF378" s="15"/>
      <c r="DG378" s="15"/>
      <c r="DH378" s="15"/>
      <c r="DI378" s="15"/>
      <c r="DJ378" s="15"/>
      <c r="DK378" s="15"/>
      <c r="DL378" s="15"/>
      <c r="DM378" s="15"/>
      <c r="DN378" s="15"/>
      <c r="DO378" s="15"/>
      <c r="DP378" s="15"/>
      <c r="DQ378" s="15"/>
      <c r="DR378" s="15"/>
      <c r="DS378" s="15"/>
      <c r="DT378" s="15"/>
      <c r="DU378" s="15"/>
      <c r="DV378" s="15"/>
    </row>
    <row r="379" spans="102:126">
      <c r="CX379" s="15"/>
      <c r="CY379" s="15"/>
      <c r="CZ379" s="15"/>
      <c r="DA379" s="15"/>
      <c r="DB379" s="15"/>
      <c r="DC379" s="15"/>
      <c r="DD379" s="15"/>
      <c r="DE379" s="15"/>
      <c r="DF379" s="15"/>
      <c r="DG379" s="15"/>
      <c r="DH379" s="15"/>
      <c r="DI379" s="15"/>
      <c r="DJ379" s="15"/>
      <c r="DK379" s="15"/>
      <c r="DL379" s="15"/>
      <c r="DM379" s="15"/>
      <c r="DN379" s="15"/>
      <c r="DO379" s="15"/>
      <c r="DP379" s="15"/>
      <c r="DQ379" s="15"/>
      <c r="DR379" s="15"/>
      <c r="DS379" s="15"/>
      <c r="DT379" s="15"/>
      <c r="DU379" s="15"/>
      <c r="DV379" s="15"/>
    </row>
    <row r="380" spans="102:126">
      <c r="CX380" s="15"/>
      <c r="CY380" s="15"/>
      <c r="CZ380" s="15"/>
      <c r="DA380" s="15"/>
      <c r="DB380" s="15"/>
      <c r="DC380" s="15"/>
      <c r="DD380" s="15"/>
      <c r="DE380" s="15"/>
      <c r="DF380" s="15"/>
      <c r="DG380" s="15"/>
      <c r="DH380" s="15"/>
      <c r="DI380" s="15"/>
      <c r="DJ380" s="15"/>
      <c r="DK380" s="15"/>
      <c r="DL380" s="15"/>
      <c r="DM380" s="15"/>
      <c r="DN380" s="15"/>
      <c r="DO380" s="15"/>
      <c r="DP380" s="15"/>
      <c r="DQ380" s="15"/>
      <c r="DR380" s="15"/>
      <c r="DS380" s="15"/>
      <c r="DT380" s="15"/>
      <c r="DU380" s="15"/>
      <c r="DV380" s="15"/>
    </row>
    <row r="381" spans="102:126">
      <c r="CX381" s="15"/>
      <c r="CY381" s="15"/>
      <c r="CZ381" s="15"/>
      <c r="DA381" s="15"/>
      <c r="DB381" s="15"/>
      <c r="DC381" s="15"/>
      <c r="DD381" s="15"/>
      <c r="DE381" s="15"/>
      <c r="DF381" s="15"/>
      <c r="DG381" s="15"/>
      <c r="DH381" s="15"/>
      <c r="DI381" s="15"/>
      <c r="DJ381" s="15"/>
      <c r="DK381" s="15"/>
      <c r="DL381" s="15"/>
      <c r="DM381" s="15"/>
      <c r="DN381" s="15"/>
      <c r="DO381" s="15"/>
      <c r="DP381" s="15"/>
      <c r="DQ381" s="15"/>
      <c r="DR381" s="15"/>
      <c r="DS381" s="15"/>
      <c r="DT381" s="15"/>
      <c r="DU381" s="15"/>
      <c r="DV381" s="15"/>
    </row>
    <row r="382" spans="102:126">
      <c r="CX382" s="15"/>
      <c r="CY382" s="15"/>
      <c r="CZ382" s="15"/>
      <c r="DA382" s="15"/>
      <c r="DB382" s="15"/>
      <c r="DC382" s="15"/>
      <c r="DD382" s="15"/>
      <c r="DE382" s="15"/>
      <c r="DF382" s="15"/>
      <c r="DG382" s="15"/>
      <c r="DH382" s="15"/>
      <c r="DI382" s="15"/>
      <c r="DJ382" s="15"/>
      <c r="DK382" s="15"/>
      <c r="DL382" s="15"/>
      <c r="DM382" s="15"/>
      <c r="DN382" s="15"/>
      <c r="DO382" s="15"/>
      <c r="DP382" s="15"/>
      <c r="DQ382" s="15"/>
      <c r="DR382" s="15"/>
      <c r="DS382" s="15"/>
      <c r="DT382" s="15"/>
      <c r="DU382" s="15"/>
      <c r="DV382" s="15"/>
    </row>
    <row r="383" spans="102:126">
      <c r="CX383" s="15"/>
      <c r="CY383" s="15"/>
      <c r="CZ383" s="15"/>
      <c r="DA383" s="15"/>
      <c r="DB383" s="15"/>
      <c r="DC383" s="15"/>
      <c r="DD383" s="15"/>
      <c r="DE383" s="15"/>
      <c r="DF383" s="15"/>
      <c r="DG383" s="15"/>
      <c r="DH383" s="15"/>
      <c r="DI383" s="15"/>
      <c r="DJ383" s="15"/>
      <c r="DK383" s="15"/>
      <c r="DL383" s="15"/>
      <c r="DM383" s="15"/>
      <c r="DN383" s="15"/>
      <c r="DO383" s="15"/>
      <c r="DP383" s="15"/>
      <c r="DQ383" s="15"/>
      <c r="DR383" s="15"/>
      <c r="DS383" s="15"/>
      <c r="DT383" s="15"/>
      <c r="DU383" s="15"/>
      <c r="DV383" s="15"/>
    </row>
    <row r="384" spans="102:126">
      <c r="CX384" s="15"/>
      <c r="CY384" s="15"/>
      <c r="CZ384" s="15"/>
      <c r="DA384" s="15"/>
      <c r="DB384" s="15"/>
      <c r="DC384" s="15"/>
      <c r="DD384" s="15"/>
      <c r="DE384" s="15"/>
      <c r="DF384" s="15"/>
      <c r="DG384" s="15"/>
      <c r="DH384" s="15"/>
      <c r="DI384" s="15"/>
      <c r="DJ384" s="15"/>
      <c r="DK384" s="15"/>
      <c r="DL384" s="15"/>
      <c r="DM384" s="15"/>
      <c r="DN384" s="15"/>
      <c r="DO384" s="15"/>
      <c r="DP384" s="15"/>
      <c r="DQ384" s="15"/>
      <c r="DR384" s="15"/>
      <c r="DS384" s="15"/>
      <c r="DT384" s="15"/>
      <c r="DU384" s="15"/>
      <c r="DV384" s="15"/>
    </row>
    <row r="385" spans="102:126">
      <c r="CX385" s="16"/>
      <c r="CY385" s="16"/>
      <c r="CZ385" s="16"/>
      <c r="DA385" s="16"/>
      <c r="DB385" s="16"/>
      <c r="DC385" s="16"/>
      <c r="DD385" s="16"/>
      <c r="DE385" s="16"/>
      <c r="DF385" s="16"/>
      <c r="DG385" s="16"/>
      <c r="DH385" s="16"/>
      <c r="DI385" s="16"/>
      <c r="DJ385" s="16"/>
      <c r="DK385" s="16"/>
      <c r="DL385" s="16"/>
      <c r="DM385" s="16"/>
      <c r="DN385" s="16"/>
      <c r="DO385" s="16"/>
      <c r="DP385" s="16"/>
      <c r="DQ385" s="16"/>
      <c r="DR385" s="16"/>
      <c r="DS385" s="16"/>
      <c r="DT385" s="16"/>
      <c r="DU385" s="16"/>
      <c r="DV385" s="16"/>
    </row>
    <row r="386" spans="102:126">
      <c r="CX386" s="16"/>
      <c r="CY386" s="16"/>
      <c r="CZ386" s="16"/>
      <c r="DA386" s="16"/>
      <c r="DB386" s="16"/>
      <c r="DC386" s="16"/>
      <c r="DD386" s="16"/>
      <c r="DE386" s="16"/>
      <c r="DF386" s="16"/>
      <c r="DG386" s="16"/>
      <c r="DH386" s="16"/>
      <c r="DI386" s="16"/>
      <c r="DJ386" s="16"/>
      <c r="DK386" s="16"/>
      <c r="DL386" s="16"/>
      <c r="DM386" s="16"/>
      <c r="DN386" s="16"/>
      <c r="DO386" s="16"/>
      <c r="DP386" s="16"/>
      <c r="DQ386" s="16"/>
      <c r="DR386" s="16"/>
      <c r="DS386" s="16"/>
      <c r="DT386" s="16"/>
      <c r="DU386" s="16"/>
      <c r="DV386" s="16"/>
    </row>
    <row r="387" spans="102:126">
      <c r="CX387" s="16"/>
      <c r="CY387" s="16"/>
      <c r="CZ387" s="16"/>
      <c r="DA387" s="16"/>
      <c r="DB387" s="16"/>
      <c r="DC387" s="16"/>
      <c r="DD387" s="16"/>
      <c r="DE387" s="16"/>
      <c r="DF387" s="16"/>
      <c r="DG387" s="16"/>
      <c r="DH387" s="16"/>
      <c r="DI387" s="16"/>
      <c r="DJ387" s="16"/>
      <c r="DK387" s="16"/>
      <c r="DL387" s="16"/>
      <c r="DM387" s="16"/>
      <c r="DN387" s="16"/>
      <c r="DO387" s="16"/>
      <c r="DP387" s="16"/>
      <c r="DQ387" s="16"/>
      <c r="DR387" s="16"/>
      <c r="DS387" s="16"/>
      <c r="DT387" s="16"/>
      <c r="DU387" s="16"/>
      <c r="DV387" s="16"/>
    </row>
    <row r="388" spans="102:126">
      <c r="CX388" s="16"/>
      <c r="CY388" s="16"/>
      <c r="CZ388" s="16"/>
      <c r="DA388" s="16"/>
      <c r="DB388" s="16"/>
      <c r="DC388" s="16"/>
      <c r="DD388" s="16"/>
      <c r="DE388" s="16"/>
      <c r="DF388" s="16"/>
      <c r="DG388" s="16"/>
      <c r="DH388" s="16"/>
      <c r="DI388" s="16"/>
      <c r="DJ388" s="16"/>
      <c r="DK388" s="16"/>
      <c r="DL388" s="16"/>
      <c r="DM388" s="16"/>
      <c r="DN388" s="16"/>
      <c r="DO388" s="16"/>
      <c r="DP388" s="16"/>
      <c r="DQ388" s="16"/>
      <c r="DR388" s="16"/>
      <c r="DS388" s="16"/>
      <c r="DT388" s="16"/>
      <c r="DU388" s="16"/>
      <c r="DV388" s="16"/>
    </row>
  </sheetData>
  <sheetProtection sheet="1" objects="1" scenarios="1" selectLockedCells="1"/>
  <mergeCells count="4">
    <mergeCell ref="AK1:AL1"/>
    <mergeCell ref="D15:F18"/>
    <mergeCell ref="AN5:AQ5"/>
    <mergeCell ref="AN18:AS18"/>
  </mergeCells>
  <phoneticPr fontId="59" type="noConversion"/>
  <conditionalFormatting sqref="E71:E85">
    <cfRule type="cellIs" dxfId="1" priority="1" stopIfTrue="1" operator="greaterThan">
      <formula>$G71</formula>
    </cfRule>
  </conditionalFormatting>
  <conditionalFormatting sqref="F71:F85">
    <cfRule type="cellIs" dxfId="0" priority="2" stopIfTrue="1" operator="greaterThan">
      <formula>$H71</formula>
    </cfRule>
  </conditionalFormatting>
  <dataValidations xWindow="231" yWindow="375" count="10">
    <dataValidation type="list" allowBlank="1" showInputMessage="1" showErrorMessage="1" prompt="When soil properties are not known in sufficient detail to determine the site class, Site Class D shall be used unless the building official determines that Class E or F soil is likely to be present at the site." sqref="C10">
      <formula1>$K$10:$K$15</formula1>
    </dataValidation>
    <dataValidation type="decimal" operator="lessThanOrEqual" allowBlank="1" showInputMessage="1" showErrorMessage="1" error="Max. height MUST BE &lt;= 240 ft." prompt="'hn' is the structure height above the base to the highest level of the structure." sqref="C14">
      <formula1>240</formula1>
    </dataValidation>
    <dataValidation type="list" allowBlank="1" showInputMessage="1" showErrorMessage="1" sqref="C20">
      <formula1>$K$16:$K$30</formula1>
    </dataValidation>
    <dataValidation type="list" allowBlank="1" showInputMessage="1" showErrorMessage="1" sqref="C8">
      <formula1>$K$3:$K$6</formula1>
    </dataValidation>
    <dataValidation type="list" allowBlank="1" showInputMessage="1" showErrorMessage="1" prompt="Selections for Seismic Force-Resisting System are from ASCE 7-05 Table 12.2-1." sqref="C15">
      <formula1>$K$31:$K$113</formula1>
    </dataValidation>
    <dataValidation allowBlank="1" showInputMessage="1" showErrorMessage="1" prompt="Location Zip Code can be used to determine Design Spectral Response Acceleration values, Ss and S1.  An earthquake Ground Motion Parameters Calculator may be used from the USGS website at: _x000a_http://earthquake.usgs.gov/designmaps/us/application.php" sqref="C11"/>
    <dataValidation allowBlank="1" showInputMessage="1" showErrorMessage="1" prompt="The 0.2 Sec. Mapped Spectral Response Acceleration value, Ss, can be determined either from ASCE 7-10 Figures 22-1 through 22-11, or by using the earthquake Ground Motion Parameters Calculator used from the USGS website._x000a_" sqref="C12"/>
    <dataValidation allowBlank="1" showInputMessage="1" showErrorMessage="1" prompt="The 1.0 Sec. Mapped Spectral Response Acceleration value, S1, can be determined either from ASCE 7-10 Figures 22-1 through 22-11 on, or by using the earthquake Ground Motion Parameters Calculator used from the USGS website." sqref="C13"/>
    <dataValidation allowBlank="1" showInputMessage="1" showErrorMessage="1" errorTitle="Warning!" error="Invalid steel yield strength" sqref="J58:J89"/>
    <dataValidation allowBlank="1" showInputMessage="1" showErrorMessage="1" prompt="Program automatically selects Seismic Factor, &quot;I&quot; from ASCE 7-10 Table 1.5-1, based on the Risk Category selected." sqref="C9"/>
  </dataValidations>
  <pageMargins left="0.25" right="0.25" top="1" bottom="1" header="0.5" footer="0.5"/>
  <pageSetup scale="50" orientation="portrait" r:id="rId1"/>
  <headerFooter alignWithMargins="0">
    <oddHeader>&amp;R"ASCE710E.xls" Program
Version 2.1</oddHeader>
    <oddFooter>&amp;C&amp;P of &amp;N&amp;R&amp;D  &amp;T</oddFooter>
  </headerFooter>
  <rowBreaks count="1" manualBreakCount="1">
    <brk id="58" max="8" man="1"/>
  </rowBreaks>
  <colBreaks count="1" manualBreakCount="1">
    <brk id="9" max="104857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L388"/>
  <sheetViews>
    <sheetView zoomScaleNormal="100" workbookViewId="0">
      <selection activeCell="J1" sqref="J1:AG1048576"/>
    </sheetView>
  </sheetViews>
  <sheetFormatPr defaultRowHeight="12.75"/>
  <cols>
    <col min="1" max="1" width="13.140625" style="728" customWidth="1"/>
    <col min="2" max="2" width="9.85546875" style="728" customWidth="1"/>
    <col min="3" max="3" width="12.28515625" style="728" customWidth="1"/>
    <col min="4" max="4" width="10.5703125" style="728" customWidth="1"/>
    <col min="5" max="5" width="9.7109375" style="728" customWidth="1"/>
    <col min="6" max="6" width="9.42578125" style="728" customWidth="1"/>
    <col min="7" max="7" width="9.140625" style="728"/>
    <col min="8" max="8" width="8.5703125" style="728" customWidth="1"/>
    <col min="9" max="9" width="10.7109375" style="728" customWidth="1"/>
    <col min="10" max="10" width="9.140625" style="77" hidden="1" customWidth="1"/>
    <col min="11" max="11" width="13.7109375" style="77" hidden="1" customWidth="1"/>
    <col min="12" max="12" width="24.7109375" style="77" hidden="1" customWidth="1"/>
    <col min="13" max="14" width="12.7109375" style="77" hidden="1" customWidth="1"/>
    <col min="15" max="15" width="12.7109375" style="27" hidden="1" customWidth="1"/>
    <col min="16" max="17" width="12.7109375" style="77" hidden="1" customWidth="1"/>
    <col min="18" max="19" width="9.140625" style="77" hidden="1" customWidth="1"/>
    <col min="20" max="20" width="4.7109375" style="77" hidden="1" customWidth="1"/>
    <col min="21" max="21" width="90.7109375" style="77" hidden="1" customWidth="1"/>
    <col min="22" max="28" width="9.7109375" style="77" hidden="1" customWidth="1"/>
    <col min="29" max="33" width="9.140625" style="77" hidden="1" customWidth="1"/>
    <col min="34" max="34" width="9.140625" style="77" customWidth="1"/>
    <col min="35" max="35" width="11.7109375" style="77" customWidth="1"/>
    <col min="36" max="36" width="12.85546875" style="77" customWidth="1"/>
    <col min="37" max="38" width="10.140625" style="77" customWidth="1"/>
    <col min="39" max="41" width="9.140625" style="77" customWidth="1"/>
    <col min="42" max="46" width="18.7109375" style="77" customWidth="1"/>
    <col min="47" max="54" width="9.140625" style="77" customWidth="1"/>
    <col min="55" max="112" width="9.140625" style="758" customWidth="1"/>
    <col min="113" max="113" width="9.140625" style="775" customWidth="1"/>
    <col min="114" max="142" width="9.140625" style="758" customWidth="1"/>
    <col min="143" max="192" width="9.140625" style="77" customWidth="1"/>
    <col min="193" max="256" width="9.140625" style="77"/>
    <col min="257" max="257" width="13.140625" style="77" customWidth="1"/>
    <col min="258" max="258" width="9.85546875" style="77" customWidth="1"/>
    <col min="259" max="259" width="12.28515625" style="77" customWidth="1"/>
    <col min="260" max="260" width="10.5703125" style="77" customWidth="1"/>
    <col min="261" max="261" width="9.7109375" style="77" customWidth="1"/>
    <col min="262" max="262" width="9.42578125" style="77" customWidth="1"/>
    <col min="263" max="263" width="9.140625" style="77"/>
    <col min="264" max="264" width="8.5703125" style="77" customWidth="1"/>
    <col min="265" max="265" width="10.7109375" style="77" customWidth="1"/>
    <col min="266" max="289" width="0" style="77" hidden="1" customWidth="1"/>
    <col min="290" max="291" width="9.140625" style="77" customWidth="1"/>
    <col min="292" max="292" width="12.85546875" style="77" customWidth="1"/>
    <col min="293" max="294" width="10.140625" style="77" customWidth="1"/>
    <col min="295" max="297" width="9.140625" style="77" customWidth="1"/>
    <col min="298" max="302" width="18.7109375" style="77" customWidth="1"/>
    <col min="303" max="448" width="9.140625" style="77" customWidth="1"/>
    <col min="449" max="512" width="9.140625" style="77"/>
    <col min="513" max="513" width="13.140625" style="77" customWidth="1"/>
    <col min="514" max="514" width="9.85546875" style="77" customWidth="1"/>
    <col min="515" max="515" width="12.28515625" style="77" customWidth="1"/>
    <col min="516" max="516" width="10.5703125" style="77" customWidth="1"/>
    <col min="517" max="517" width="9.7109375" style="77" customWidth="1"/>
    <col min="518" max="518" width="9.42578125" style="77" customWidth="1"/>
    <col min="519" max="519" width="9.140625" style="77"/>
    <col min="520" max="520" width="8.5703125" style="77" customWidth="1"/>
    <col min="521" max="521" width="10.7109375" style="77" customWidth="1"/>
    <col min="522" max="545" width="0" style="77" hidden="1" customWidth="1"/>
    <col min="546" max="547" width="9.140625" style="77" customWidth="1"/>
    <col min="548" max="548" width="12.85546875" style="77" customWidth="1"/>
    <col min="549" max="550" width="10.140625" style="77" customWidth="1"/>
    <col min="551" max="553" width="9.140625" style="77" customWidth="1"/>
    <col min="554" max="558" width="18.7109375" style="77" customWidth="1"/>
    <col min="559" max="704" width="9.140625" style="77" customWidth="1"/>
    <col min="705" max="768" width="9.140625" style="77"/>
    <col min="769" max="769" width="13.140625" style="77" customWidth="1"/>
    <col min="770" max="770" width="9.85546875" style="77" customWidth="1"/>
    <col min="771" max="771" width="12.28515625" style="77" customWidth="1"/>
    <col min="772" max="772" width="10.5703125" style="77" customWidth="1"/>
    <col min="773" max="773" width="9.7109375" style="77" customWidth="1"/>
    <col min="774" max="774" width="9.42578125" style="77" customWidth="1"/>
    <col min="775" max="775" width="9.140625" style="77"/>
    <col min="776" max="776" width="8.5703125" style="77" customWidth="1"/>
    <col min="777" max="777" width="10.7109375" style="77" customWidth="1"/>
    <col min="778" max="801" width="0" style="77" hidden="1" customWidth="1"/>
    <col min="802" max="803" width="9.140625" style="77" customWidth="1"/>
    <col min="804" max="804" width="12.85546875" style="77" customWidth="1"/>
    <col min="805" max="806" width="10.140625" style="77" customWidth="1"/>
    <col min="807" max="809" width="9.140625" style="77" customWidth="1"/>
    <col min="810" max="814" width="18.7109375" style="77" customWidth="1"/>
    <col min="815" max="960" width="9.140625" style="77" customWidth="1"/>
    <col min="961" max="1024" width="9.140625" style="77"/>
    <col min="1025" max="1025" width="13.140625" style="77" customWidth="1"/>
    <col min="1026" max="1026" width="9.85546875" style="77" customWidth="1"/>
    <col min="1027" max="1027" width="12.28515625" style="77" customWidth="1"/>
    <col min="1028" max="1028" width="10.5703125" style="77" customWidth="1"/>
    <col min="1029" max="1029" width="9.7109375" style="77" customWidth="1"/>
    <col min="1030" max="1030" width="9.42578125" style="77" customWidth="1"/>
    <col min="1031" max="1031" width="9.140625" style="77"/>
    <col min="1032" max="1032" width="8.5703125" style="77" customWidth="1"/>
    <col min="1033" max="1033" width="10.7109375" style="77" customWidth="1"/>
    <col min="1034" max="1057" width="0" style="77" hidden="1" customWidth="1"/>
    <col min="1058" max="1059" width="9.140625" style="77" customWidth="1"/>
    <col min="1060" max="1060" width="12.85546875" style="77" customWidth="1"/>
    <col min="1061" max="1062" width="10.140625" style="77" customWidth="1"/>
    <col min="1063" max="1065" width="9.140625" style="77" customWidth="1"/>
    <col min="1066" max="1070" width="18.7109375" style="77" customWidth="1"/>
    <col min="1071" max="1216" width="9.140625" style="77" customWidth="1"/>
    <col min="1217" max="1280" width="9.140625" style="77"/>
    <col min="1281" max="1281" width="13.140625" style="77" customWidth="1"/>
    <col min="1282" max="1282" width="9.85546875" style="77" customWidth="1"/>
    <col min="1283" max="1283" width="12.28515625" style="77" customWidth="1"/>
    <col min="1284" max="1284" width="10.5703125" style="77" customWidth="1"/>
    <col min="1285" max="1285" width="9.7109375" style="77" customWidth="1"/>
    <col min="1286" max="1286" width="9.42578125" style="77" customWidth="1"/>
    <col min="1287" max="1287" width="9.140625" style="77"/>
    <col min="1288" max="1288" width="8.5703125" style="77" customWidth="1"/>
    <col min="1289" max="1289" width="10.7109375" style="77" customWidth="1"/>
    <col min="1290" max="1313" width="0" style="77" hidden="1" customWidth="1"/>
    <col min="1314" max="1315" width="9.140625" style="77" customWidth="1"/>
    <col min="1316" max="1316" width="12.85546875" style="77" customWidth="1"/>
    <col min="1317" max="1318" width="10.140625" style="77" customWidth="1"/>
    <col min="1319" max="1321" width="9.140625" style="77" customWidth="1"/>
    <col min="1322" max="1326" width="18.7109375" style="77" customWidth="1"/>
    <col min="1327" max="1472" width="9.140625" style="77" customWidth="1"/>
    <col min="1473" max="1536" width="9.140625" style="77"/>
    <col min="1537" max="1537" width="13.140625" style="77" customWidth="1"/>
    <col min="1538" max="1538" width="9.85546875" style="77" customWidth="1"/>
    <col min="1539" max="1539" width="12.28515625" style="77" customWidth="1"/>
    <col min="1540" max="1540" width="10.5703125" style="77" customWidth="1"/>
    <col min="1541" max="1541" width="9.7109375" style="77" customWidth="1"/>
    <col min="1542" max="1542" width="9.42578125" style="77" customWidth="1"/>
    <col min="1543" max="1543" width="9.140625" style="77"/>
    <col min="1544" max="1544" width="8.5703125" style="77" customWidth="1"/>
    <col min="1545" max="1545" width="10.7109375" style="77" customWidth="1"/>
    <col min="1546" max="1569" width="0" style="77" hidden="1" customWidth="1"/>
    <col min="1570" max="1571" width="9.140625" style="77" customWidth="1"/>
    <col min="1572" max="1572" width="12.85546875" style="77" customWidth="1"/>
    <col min="1573" max="1574" width="10.140625" style="77" customWidth="1"/>
    <col min="1575" max="1577" width="9.140625" style="77" customWidth="1"/>
    <col min="1578" max="1582" width="18.7109375" style="77" customWidth="1"/>
    <col min="1583" max="1728" width="9.140625" style="77" customWidth="1"/>
    <col min="1729" max="1792" width="9.140625" style="77"/>
    <col min="1793" max="1793" width="13.140625" style="77" customWidth="1"/>
    <col min="1794" max="1794" width="9.85546875" style="77" customWidth="1"/>
    <col min="1795" max="1795" width="12.28515625" style="77" customWidth="1"/>
    <col min="1796" max="1796" width="10.5703125" style="77" customWidth="1"/>
    <col min="1797" max="1797" width="9.7109375" style="77" customWidth="1"/>
    <col min="1798" max="1798" width="9.42578125" style="77" customWidth="1"/>
    <col min="1799" max="1799" width="9.140625" style="77"/>
    <col min="1800" max="1800" width="8.5703125" style="77" customWidth="1"/>
    <col min="1801" max="1801" width="10.7109375" style="77" customWidth="1"/>
    <col min="1802" max="1825" width="0" style="77" hidden="1" customWidth="1"/>
    <col min="1826" max="1827" width="9.140625" style="77" customWidth="1"/>
    <col min="1828" max="1828" width="12.85546875" style="77" customWidth="1"/>
    <col min="1829" max="1830" width="10.140625" style="77" customWidth="1"/>
    <col min="1831" max="1833" width="9.140625" style="77" customWidth="1"/>
    <col min="1834" max="1838" width="18.7109375" style="77" customWidth="1"/>
    <col min="1839" max="1984" width="9.140625" style="77" customWidth="1"/>
    <col min="1985" max="2048" width="9.140625" style="77"/>
    <col min="2049" max="2049" width="13.140625" style="77" customWidth="1"/>
    <col min="2050" max="2050" width="9.85546875" style="77" customWidth="1"/>
    <col min="2051" max="2051" width="12.28515625" style="77" customWidth="1"/>
    <col min="2052" max="2052" width="10.5703125" style="77" customWidth="1"/>
    <col min="2053" max="2053" width="9.7109375" style="77" customWidth="1"/>
    <col min="2054" max="2054" width="9.42578125" style="77" customWidth="1"/>
    <col min="2055" max="2055" width="9.140625" style="77"/>
    <col min="2056" max="2056" width="8.5703125" style="77" customWidth="1"/>
    <col min="2057" max="2057" width="10.7109375" style="77" customWidth="1"/>
    <col min="2058" max="2081" width="0" style="77" hidden="1" customWidth="1"/>
    <col min="2082" max="2083" width="9.140625" style="77" customWidth="1"/>
    <col min="2084" max="2084" width="12.85546875" style="77" customWidth="1"/>
    <col min="2085" max="2086" width="10.140625" style="77" customWidth="1"/>
    <col min="2087" max="2089" width="9.140625" style="77" customWidth="1"/>
    <col min="2090" max="2094" width="18.7109375" style="77" customWidth="1"/>
    <col min="2095" max="2240" width="9.140625" style="77" customWidth="1"/>
    <col min="2241" max="2304" width="9.140625" style="77"/>
    <col min="2305" max="2305" width="13.140625" style="77" customWidth="1"/>
    <col min="2306" max="2306" width="9.85546875" style="77" customWidth="1"/>
    <col min="2307" max="2307" width="12.28515625" style="77" customWidth="1"/>
    <col min="2308" max="2308" width="10.5703125" style="77" customWidth="1"/>
    <col min="2309" max="2309" width="9.7109375" style="77" customWidth="1"/>
    <col min="2310" max="2310" width="9.42578125" style="77" customWidth="1"/>
    <col min="2311" max="2311" width="9.140625" style="77"/>
    <col min="2312" max="2312" width="8.5703125" style="77" customWidth="1"/>
    <col min="2313" max="2313" width="10.7109375" style="77" customWidth="1"/>
    <col min="2314" max="2337" width="0" style="77" hidden="1" customWidth="1"/>
    <col min="2338" max="2339" width="9.140625" style="77" customWidth="1"/>
    <col min="2340" max="2340" width="12.85546875" style="77" customWidth="1"/>
    <col min="2341" max="2342" width="10.140625" style="77" customWidth="1"/>
    <col min="2343" max="2345" width="9.140625" style="77" customWidth="1"/>
    <col min="2346" max="2350" width="18.7109375" style="77" customWidth="1"/>
    <col min="2351" max="2496" width="9.140625" style="77" customWidth="1"/>
    <col min="2497" max="2560" width="9.140625" style="77"/>
    <col min="2561" max="2561" width="13.140625" style="77" customWidth="1"/>
    <col min="2562" max="2562" width="9.85546875" style="77" customWidth="1"/>
    <col min="2563" max="2563" width="12.28515625" style="77" customWidth="1"/>
    <col min="2564" max="2564" width="10.5703125" style="77" customWidth="1"/>
    <col min="2565" max="2565" width="9.7109375" style="77" customWidth="1"/>
    <col min="2566" max="2566" width="9.42578125" style="77" customWidth="1"/>
    <col min="2567" max="2567" width="9.140625" style="77"/>
    <col min="2568" max="2568" width="8.5703125" style="77" customWidth="1"/>
    <col min="2569" max="2569" width="10.7109375" style="77" customWidth="1"/>
    <col min="2570" max="2593" width="0" style="77" hidden="1" customWidth="1"/>
    <col min="2594" max="2595" width="9.140625" style="77" customWidth="1"/>
    <col min="2596" max="2596" width="12.85546875" style="77" customWidth="1"/>
    <col min="2597" max="2598" width="10.140625" style="77" customWidth="1"/>
    <col min="2599" max="2601" width="9.140625" style="77" customWidth="1"/>
    <col min="2602" max="2606" width="18.7109375" style="77" customWidth="1"/>
    <col min="2607" max="2752" width="9.140625" style="77" customWidth="1"/>
    <col min="2753" max="2816" width="9.140625" style="77"/>
    <col min="2817" max="2817" width="13.140625" style="77" customWidth="1"/>
    <col min="2818" max="2818" width="9.85546875" style="77" customWidth="1"/>
    <col min="2819" max="2819" width="12.28515625" style="77" customWidth="1"/>
    <col min="2820" max="2820" width="10.5703125" style="77" customWidth="1"/>
    <col min="2821" max="2821" width="9.7109375" style="77" customWidth="1"/>
    <col min="2822" max="2822" width="9.42578125" style="77" customWidth="1"/>
    <col min="2823" max="2823" width="9.140625" style="77"/>
    <col min="2824" max="2824" width="8.5703125" style="77" customWidth="1"/>
    <col min="2825" max="2825" width="10.7109375" style="77" customWidth="1"/>
    <col min="2826" max="2849" width="0" style="77" hidden="1" customWidth="1"/>
    <col min="2850" max="2851" width="9.140625" style="77" customWidth="1"/>
    <col min="2852" max="2852" width="12.85546875" style="77" customWidth="1"/>
    <col min="2853" max="2854" width="10.140625" style="77" customWidth="1"/>
    <col min="2855" max="2857" width="9.140625" style="77" customWidth="1"/>
    <col min="2858" max="2862" width="18.7109375" style="77" customWidth="1"/>
    <col min="2863" max="3008" width="9.140625" style="77" customWidth="1"/>
    <col min="3009" max="3072" width="9.140625" style="77"/>
    <col min="3073" max="3073" width="13.140625" style="77" customWidth="1"/>
    <col min="3074" max="3074" width="9.85546875" style="77" customWidth="1"/>
    <col min="3075" max="3075" width="12.28515625" style="77" customWidth="1"/>
    <col min="3076" max="3076" width="10.5703125" style="77" customWidth="1"/>
    <col min="3077" max="3077" width="9.7109375" style="77" customWidth="1"/>
    <col min="3078" max="3078" width="9.42578125" style="77" customWidth="1"/>
    <col min="3079" max="3079" width="9.140625" style="77"/>
    <col min="3080" max="3080" width="8.5703125" style="77" customWidth="1"/>
    <col min="3081" max="3081" width="10.7109375" style="77" customWidth="1"/>
    <col min="3082" max="3105" width="0" style="77" hidden="1" customWidth="1"/>
    <col min="3106" max="3107" width="9.140625" style="77" customWidth="1"/>
    <col min="3108" max="3108" width="12.85546875" style="77" customWidth="1"/>
    <col min="3109" max="3110" width="10.140625" style="77" customWidth="1"/>
    <col min="3111" max="3113" width="9.140625" style="77" customWidth="1"/>
    <col min="3114" max="3118" width="18.7109375" style="77" customWidth="1"/>
    <col min="3119" max="3264" width="9.140625" style="77" customWidth="1"/>
    <col min="3265" max="3328" width="9.140625" style="77"/>
    <col min="3329" max="3329" width="13.140625" style="77" customWidth="1"/>
    <col min="3330" max="3330" width="9.85546875" style="77" customWidth="1"/>
    <col min="3331" max="3331" width="12.28515625" style="77" customWidth="1"/>
    <col min="3332" max="3332" width="10.5703125" style="77" customWidth="1"/>
    <col min="3333" max="3333" width="9.7109375" style="77" customWidth="1"/>
    <col min="3334" max="3334" width="9.42578125" style="77" customWidth="1"/>
    <col min="3335" max="3335" width="9.140625" style="77"/>
    <col min="3336" max="3336" width="8.5703125" style="77" customWidth="1"/>
    <col min="3337" max="3337" width="10.7109375" style="77" customWidth="1"/>
    <col min="3338" max="3361" width="0" style="77" hidden="1" customWidth="1"/>
    <col min="3362" max="3363" width="9.140625" style="77" customWidth="1"/>
    <col min="3364" max="3364" width="12.85546875" style="77" customWidth="1"/>
    <col min="3365" max="3366" width="10.140625" style="77" customWidth="1"/>
    <col min="3367" max="3369" width="9.140625" style="77" customWidth="1"/>
    <col min="3370" max="3374" width="18.7109375" style="77" customWidth="1"/>
    <col min="3375" max="3520" width="9.140625" style="77" customWidth="1"/>
    <col min="3521" max="3584" width="9.140625" style="77"/>
    <col min="3585" max="3585" width="13.140625" style="77" customWidth="1"/>
    <col min="3586" max="3586" width="9.85546875" style="77" customWidth="1"/>
    <col min="3587" max="3587" width="12.28515625" style="77" customWidth="1"/>
    <col min="3588" max="3588" width="10.5703125" style="77" customWidth="1"/>
    <col min="3589" max="3589" width="9.7109375" style="77" customWidth="1"/>
    <col min="3590" max="3590" width="9.42578125" style="77" customWidth="1"/>
    <col min="3591" max="3591" width="9.140625" style="77"/>
    <col min="3592" max="3592" width="8.5703125" style="77" customWidth="1"/>
    <col min="3593" max="3593" width="10.7109375" style="77" customWidth="1"/>
    <col min="3594" max="3617" width="0" style="77" hidden="1" customWidth="1"/>
    <col min="3618" max="3619" width="9.140625" style="77" customWidth="1"/>
    <col min="3620" max="3620" width="12.85546875" style="77" customWidth="1"/>
    <col min="3621" max="3622" width="10.140625" style="77" customWidth="1"/>
    <col min="3623" max="3625" width="9.140625" style="77" customWidth="1"/>
    <col min="3626" max="3630" width="18.7109375" style="77" customWidth="1"/>
    <col min="3631" max="3776" width="9.140625" style="77" customWidth="1"/>
    <col min="3777" max="3840" width="9.140625" style="77"/>
    <col min="3841" max="3841" width="13.140625" style="77" customWidth="1"/>
    <col min="3842" max="3842" width="9.85546875" style="77" customWidth="1"/>
    <col min="3843" max="3843" width="12.28515625" style="77" customWidth="1"/>
    <col min="3844" max="3844" width="10.5703125" style="77" customWidth="1"/>
    <col min="3845" max="3845" width="9.7109375" style="77" customWidth="1"/>
    <col min="3846" max="3846" width="9.42578125" style="77" customWidth="1"/>
    <col min="3847" max="3847" width="9.140625" style="77"/>
    <col min="3848" max="3848" width="8.5703125" style="77" customWidth="1"/>
    <col min="3849" max="3849" width="10.7109375" style="77" customWidth="1"/>
    <col min="3850" max="3873" width="0" style="77" hidden="1" customWidth="1"/>
    <col min="3874" max="3875" width="9.140625" style="77" customWidth="1"/>
    <col min="3876" max="3876" width="12.85546875" style="77" customWidth="1"/>
    <col min="3877" max="3878" width="10.140625" style="77" customWidth="1"/>
    <col min="3879" max="3881" width="9.140625" style="77" customWidth="1"/>
    <col min="3882" max="3886" width="18.7109375" style="77" customWidth="1"/>
    <col min="3887" max="4032" width="9.140625" style="77" customWidth="1"/>
    <col min="4033" max="4096" width="9.140625" style="77"/>
    <col min="4097" max="4097" width="13.140625" style="77" customWidth="1"/>
    <col min="4098" max="4098" width="9.85546875" style="77" customWidth="1"/>
    <col min="4099" max="4099" width="12.28515625" style="77" customWidth="1"/>
    <col min="4100" max="4100" width="10.5703125" style="77" customWidth="1"/>
    <col min="4101" max="4101" width="9.7109375" style="77" customWidth="1"/>
    <col min="4102" max="4102" width="9.42578125" style="77" customWidth="1"/>
    <col min="4103" max="4103" width="9.140625" style="77"/>
    <col min="4104" max="4104" width="8.5703125" style="77" customWidth="1"/>
    <col min="4105" max="4105" width="10.7109375" style="77" customWidth="1"/>
    <col min="4106" max="4129" width="0" style="77" hidden="1" customWidth="1"/>
    <col min="4130" max="4131" width="9.140625" style="77" customWidth="1"/>
    <col min="4132" max="4132" width="12.85546875" style="77" customWidth="1"/>
    <col min="4133" max="4134" width="10.140625" style="77" customWidth="1"/>
    <col min="4135" max="4137" width="9.140625" style="77" customWidth="1"/>
    <col min="4138" max="4142" width="18.7109375" style="77" customWidth="1"/>
    <col min="4143" max="4288" width="9.140625" style="77" customWidth="1"/>
    <col min="4289" max="4352" width="9.140625" style="77"/>
    <col min="4353" max="4353" width="13.140625" style="77" customWidth="1"/>
    <col min="4354" max="4354" width="9.85546875" style="77" customWidth="1"/>
    <col min="4355" max="4355" width="12.28515625" style="77" customWidth="1"/>
    <col min="4356" max="4356" width="10.5703125" style="77" customWidth="1"/>
    <col min="4357" max="4357" width="9.7109375" style="77" customWidth="1"/>
    <col min="4358" max="4358" width="9.42578125" style="77" customWidth="1"/>
    <col min="4359" max="4359" width="9.140625" style="77"/>
    <col min="4360" max="4360" width="8.5703125" style="77" customWidth="1"/>
    <col min="4361" max="4361" width="10.7109375" style="77" customWidth="1"/>
    <col min="4362" max="4385" width="0" style="77" hidden="1" customWidth="1"/>
    <col min="4386" max="4387" width="9.140625" style="77" customWidth="1"/>
    <col min="4388" max="4388" width="12.85546875" style="77" customWidth="1"/>
    <col min="4389" max="4390" width="10.140625" style="77" customWidth="1"/>
    <col min="4391" max="4393" width="9.140625" style="77" customWidth="1"/>
    <col min="4394" max="4398" width="18.7109375" style="77" customWidth="1"/>
    <col min="4399" max="4544" width="9.140625" style="77" customWidth="1"/>
    <col min="4545" max="4608" width="9.140625" style="77"/>
    <col min="4609" max="4609" width="13.140625" style="77" customWidth="1"/>
    <col min="4610" max="4610" width="9.85546875" style="77" customWidth="1"/>
    <col min="4611" max="4611" width="12.28515625" style="77" customWidth="1"/>
    <col min="4612" max="4612" width="10.5703125" style="77" customWidth="1"/>
    <col min="4613" max="4613" width="9.7109375" style="77" customWidth="1"/>
    <col min="4614" max="4614" width="9.42578125" style="77" customWidth="1"/>
    <col min="4615" max="4615" width="9.140625" style="77"/>
    <col min="4616" max="4616" width="8.5703125" style="77" customWidth="1"/>
    <col min="4617" max="4617" width="10.7109375" style="77" customWidth="1"/>
    <col min="4618" max="4641" width="0" style="77" hidden="1" customWidth="1"/>
    <col min="4642" max="4643" width="9.140625" style="77" customWidth="1"/>
    <col min="4644" max="4644" width="12.85546875" style="77" customWidth="1"/>
    <col min="4645" max="4646" width="10.140625" style="77" customWidth="1"/>
    <col min="4647" max="4649" width="9.140625" style="77" customWidth="1"/>
    <col min="4650" max="4654" width="18.7109375" style="77" customWidth="1"/>
    <col min="4655" max="4800" width="9.140625" style="77" customWidth="1"/>
    <col min="4801" max="4864" width="9.140625" style="77"/>
    <col min="4865" max="4865" width="13.140625" style="77" customWidth="1"/>
    <col min="4866" max="4866" width="9.85546875" style="77" customWidth="1"/>
    <col min="4867" max="4867" width="12.28515625" style="77" customWidth="1"/>
    <col min="4868" max="4868" width="10.5703125" style="77" customWidth="1"/>
    <col min="4869" max="4869" width="9.7109375" style="77" customWidth="1"/>
    <col min="4870" max="4870" width="9.42578125" style="77" customWidth="1"/>
    <col min="4871" max="4871" width="9.140625" style="77"/>
    <col min="4872" max="4872" width="8.5703125" style="77" customWidth="1"/>
    <col min="4873" max="4873" width="10.7109375" style="77" customWidth="1"/>
    <col min="4874" max="4897" width="0" style="77" hidden="1" customWidth="1"/>
    <col min="4898" max="4899" width="9.140625" style="77" customWidth="1"/>
    <col min="4900" max="4900" width="12.85546875" style="77" customWidth="1"/>
    <col min="4901" max="4902" width="10.140625" style="77" customWidth="1"/>
    <col min="4903" max="4905" width="9.140625" style="77" customWidth="1"/>
    <col min="4906" max="4910" width="18.7109375" style="77" customWidth="1"/>
    <col min="4911" max="5056" width="9.140625" style="77" customWidth="1"/>
    <col min="5057" max="5120" width="9.140625" style="77"/>
    <col min="5121" max="5121" width="13.140625" style="77" customWidth="1"/>
    <col min="5122" max="5122" width="9.85546875" style="77" customWidth="1"/>
    <col min="5123" max="5123" width="12.28515625" style="77" customWidth="1"/>
    <col min="5124" max="5124" width="10.5703125" style="77" customWidth="1"/>
    <col min="5125" max="5125" width="9.7109375" style="77" customWidth="1"/>
    <col min="5126" max="5126" width="9.42578125" style="77" customWidth="1"/>
    <col min="5127" max="5127" width="9.140625" style="77"/>
    <col min="5128" max="5128" width="8.5703125" style="77" customWidth="1"/>
    <col min="5129" max="5129" width="10.7109375" style="77" customWidth="1"/>
    <col min="5130" max="5153" width="0" style="77" hidden="1" customWidth="1"/>
    <col min="5154" max="5155" width="9.140625" style="77" customWidth="1"/>
    <col min="5156" max="5156" width="12.85546875" style="77" customWidth="1"/>
    <col min="5157" max="5158" width="10.140625" style="77" customWidth="1"/>
    <col min="5159" max="5161" width="9.140625" style="77" customWidth="1"/>
    <col min="5162" max="5166" width="18.7109375" style="77" customWidth="1"/>
    <col min="5167" max="5312" width="9.140625" style="77" customWidth="1"/>
    <col min="5313" max="5376" width="9.140625" style="77"/>
    <col min="5377" max="5377" width="13.140625" style="77" customWidth="1"/>
    <col min="5378" max="5378" width="9.85546875" style="77" customWidth="1"/>
    <col min="5379" max="5379" width="12.28515625" style="77" customWidth="1"/>
    <col min="5380" max="5380" width="10.5703125" style="77" customWidth="1"/>
    <col min="5381" max="5381" width="9.7109375" style="77" customWidth="1"/>
    <col min="5382" max="5382" width="9.42578125" style="77" customWidth="1"/>
    <col min="5383" max="5383" width="9.140625" style="77"/>
    <col min="5384" max="5384" width="8.5703125" style="77" customWidth="1"/>
    <col min="5385" max="5385" width="10.7109375" style="77" customWidth="1"/>
    <col min="5386" max="5409" width="0" style="77" hidden="1" customWidth="1"/>
    <col min="5410" max="5411" width="9.140625" style="77" customWidth="1"/>
    <col min="5412" max="5412" width="12.85546875" style="77" customWidth="1"/>
    <col min="5413" max="5414" width="10.140625" style="77" customWidth="1"/>
    <col min="5415" max="5417" width="9.140625" style="77" customWidth="1"/>
    <col min="5418" max="5422" width="18.7109375" style="77" customWidth="1"/>
    <col min="5423" max="5568" width="9.140625" style="77" customWidth="1"/>
    <col min="5569" max="5632" width="9.140625" style="77"/>
    <col min="5633" max="5633" width="13.140625" style="77" customWidth="1"/>
    <col min="5634" max="5634" width="9.85546875" style="77" customWidth="1"/>
    <col min="5635" max="5635" width="12.28515625" style="77" customWidth="1"/>
    <col min="5636" max="5636" width="10.5703125" style="77" customWidth="1"/>
    <col min="5637" max="5637" width="9.7109375" style="77" customWidth="1"/>
    <col min="5638" max="5638" width="9.42578125" style="77" customWidth="1"/>
    <col min="5639" max="5639" width="9.140625" style="77"/>
    <col min="5640" max="5640" width="8.5703125" style="77" customWidth="1"/>
    <col min="5641" max="5641" width="10.7109375" style="77" customWidth="1"/>
    <col min="5642" max="5665" width="0" style="77" hidden="1" customWidth="1"/>
    <col min="5666" max="5667" width="9.140625" style="77" customWidth="1"/>
    <col min="5668" max="5668" width="12.85546875" style="77" customWidth="1"/>
    <col min="5669" max="5670" width="10.140625" style="77" customWidth="1"/>
    <col min="5671" max="5673" width="9.140625" style="77" customWidth="1"/>
    <col min="5674" max="5678" width="18.7109375" style="77" customWidth="1"/>
    <col min="5679" max="5824" width="9.140625" style="77" customWidth="1"/>
    <col min="5825" max="5888" width="9.140625" style="77"/>
    <col min="5889" max="5889" width="13.140625" style="77" customWidth="1"/>
    <col min="5890" max="5890" width="9.85546875" style="77" customWidth="1"/>
    <col min="5891" max="5891" width="12.28515625" style="77" customWidth="1"/>
    <col min="5892" max="5892" width="10.5703125" style="77" customWidth="1"/>
    <col min="5893" max="5893" width="9.7109375" style="77" customWidth="1"/>
    <col min="5894" max="5894" width="9.42578125" style="77" customWidth="1"/>
    <col min="5895" max="5895" width="9.140625" style="77"/>
    <col min="5896" max="5896" width="8.5703125" style="77" customWidth="1"/>
    <col min="5897" max="5897" width="10.7109375" style="77" customWidth="1"/>
    <col min="5898" max="5921" width="0" style="77" hidden="1" customWidth="1"/>
    <col min="5922" max="5923" width="9.140625" style="77" customWidth="1"/>
    <col min="5924" max="5924" width="12.85546875" style="77" customWidth="1"/>
    <col min="5925" max="5926" width="10.140625" style="77" customWidth="1"/>
    <col min="5927" max="5929" width="9.140625" style="77" customWidth="1"/>
    <col min="5930" max="5934" width="18.7109375" style="77" customWidth="1"/>
    <col min="5935" max="6080" width="9.140625" style="77" customWidth="1"/>
    <col min="6081" max="6144" width="9.140625" style="77"/>
    <col min="6145" max="6145" width="13.140625" style="77" customWidth="1"/>
    <col min="6146" max="6146" width="9.85546875" style="77" customWidth="1"/>
    <col min="6147" max="6147" width="12.28515625" style="77" customWidth="1"/>
    <col min="6148" max="6148" width="10.5703125" style="77" customWidth="1"/>
    <col min="6149" max="6149" width="9.7109375" style="77" customWidth="1"/>
    <col min="6150" max="6150" width="9.42578125" style="77" customWidth="1"/>
    <col min="6151" max="6151" width="9.140625" style="77"/>
    <col min="6152" max="6152" width="8.5703125" style="77" customWidth="1"/>
    <col min="6153" max="6153" width="10.7109375" style="77" customWidth="1"/>
    <col min="6154" max="6177" width="0" style="77" hidden="1" customWidth="1"/>
    <col min="6178" max="6179" width="9.140625" style="77" customWidth="1"/>
    <col min="6180" max="6180" width="12.85546875" style="77" customWidth="1"/>
    <col min="6181" max="6182" width="10.140625" style="77" customWidth="1"/>
    <col min="6183" max="6185" width="9.140625" style="77" customWidth="1"/>
    <col min="6186" max="6190" width="18.7109375" style="77" customWidth="1"/>
    <col min="6191" max="6336" width="9.140625" style="77" customWidth="1"/>
    <col min="6337" max="6400" width="9.140625" style="77"/>
    <col min="6401" max="6401" width="13.140625" style="77" customWidth="1"/>
    <col min="6402" max="6402" width="9.85546875" style="77" customWidth="1"/>
    <col min="6403" max="6403" width="12.28515625" style="77" customWidth="1"/>
    <col min="6404" max="6404" width="10.5703125" style="77" customWidth="1"/>
    <col min="6405" max="6405" width="9.7109375" style="77" customWidth="1"/>
    <col min="6406" max="6406" width="9.42578125" style="77" customWidth="1"/>
    <col min="6407" max="6407" width="9.140625" style="77"/>
    <col min="6408" max="6408" width="8.5703125" style="77" customWidth="1"/>
    <col min="6409" max="6409" width="10.7109375" style="77" customWidth="1"/>
    <col min="6410" max="6433" width="0" style="77" hidden="1" customWidth="1"/>
    <col min="6434" max="6435" width="9.140625" style="77" customWidth="1"/>
    <col min="6436" max="6436" width="12.85546875" style="77" customWidth="1"/>
    <col min="6437" max="6438" width="10.140625" style="77" customWidth="1"/>
    <col min="6439" max="6441" width="9.140625" style="77" customWidth="1"/>
    <col min="6442" max="6446" width="18.7109375" style="77" customWidth="1"/>
    <col min="6447" max="6592" width="9.140625" style="77" customWidth="1"/>
    <col min="6593" max="6656" width="9.140625" style="77"/>
    <col min="6657" max="6657" width="13.140625" style="77" customWidth="1"/>
    <col min="6658" max="6658" width="9.85546875" style="77" customWidth="1"/>
    <col min="6659" max="6659" width="12.28515625" style="77" customWidth="1"/>
    <col min="6660" max="6660" width="10.5703125" style="77" customWidth="1"/>
    <col min="6661" max="6661" width="9.7109375" style="77" customWidth="1"/>
    <col min="6662" max="6662" width="9.42578125" style="77" customWidth="1"/>
    <col min="6663" max="6663" width="9.140625" style="77"/>
    <col min="6664" max="6664" width="8.5703125" style="77" customWidth="1"/>
    <col min="6665" max="6665" width="10.7109375" style="77" customWidth="1"/>
    <col min="6666" max="6689" width="0" style="77" hidden="1" customWidth="1"/>
    <col min="6690" max="6691" width="9.140625" style="77" customWidth="1"/>
    <col min="6692" max="6692" width="12.85546875" style="77" customWidth="1"/>
    <col min="6693" max="6694" width="10.140625" style="77" customWidth="1"/>
    <col min="6695" max="6697" width="9.140625" style="77" customWidth="1"/>
    <col min="6698" max="6702" width="18.7109375" style="77" customWidth="1"/>
    <col min="6703" max="6848" width="9.140625" style="77" customWidth="1"/>
    <col min="6849" max="6912" width="9.140625" style="77"/>
    <col min="6913" max="6913" width="13.140625" style="77" customWidth="1"/>
    <col min="6914" max="6914" width="9.85546875" style="77" customWidth="1"/>
    <col min="6915" max="6915" width="12.28515625" style="77" customWidth="1"/>
    <col min="6916" max="6916" width="10.5703125" style="77" customWidth="1"/>
    <col min="6917" max="6917" width="9.7109375" style="77" customWidth="1"/>
    <col min="6918" max="6918" width="9.42578125" style="77" customWidth="1"/>
    <col min="6919" max="6919" width="9.140625" style="77"/>
    <col min="6920" max="6920" width="8.5703125" style="77" customWidth="1"/>
    <col min="6921" max="6921" width="10.7109375" style="77" customWidth="1"/>
    <col min="6922" max="6945" width="0" style="77" hidden="1" customWidth="1"/>
    <col min="6946" max="6947" width="9.140625" style="77" customWidth="1"/>
    <col min="6948" max="6948" width="12.85546875" style="77" customWidth="1"/>
    <col min="6949" max="6950" width="10.140625" style="77" customWidth="1"/>
    <col min="6951" max="6953" width="9.140625" style="77" customWidth="1"/>
    <col min="6954" max="6958" width="18.7109375" style="77" customWidth="1"/>
    <col min="6959" max="7104" width="9.140625" style="77" customWidth="1"/>
    <col min="7105" max="7168" width="9.140625" style="77"/>
    <col min="7169" max="7169" width="13.140625" style="77" customWidth="1"/>
    <col min="7170" max="7170" width="9.85546875" style="77" customWidth="1"/>
    <col min="7171" max="7171" width="12.28515625" style="77" customWidth="1"/>
    <col min="7172" max="7172" width="10.5703125" style="77" customWidth="1"/>
    <col min="7173" max="7173" width="9.7109375" style="77" customWidth="1"/>
    <col min="7174" max="7174" width="9.42578125" style="77" customWidth="1"/>
    <col min="7175" max="7175" width="9.140625" style="77"/>
    <col min="7176" max="7176" width="8.5703125" style="77" customWidth="1"/>
    <col min="7177" max="7177" width="10.7109375" style="77" customWidth="1"/>
    <col min="7178" max="7201" width="0" style="77" hidden="1" customWidth="1"/>
    <col min="7202" max="7203" width="9.140625" style="77" customWidth="1"/>
    <col min="7204" max="7204" width="12.85546875" style="77" customWidth="1"/>
    <col min="7205" max="7206" width="10.140625" style="77" customWidth="1"/>
    <col min="7207" max="7209" width="9.140625" style="77" customWidth="1"/>
    <col min="7210" max="7214" width="18.7109375" style="77" customWidth="1"/>
    <col min="7215" max="7360" width="9.140625" style="77" customWidth="1"/>
    <col min="7361" max="7424" width="9.140625" style="77"/>
    <col min="7425" max="7425" width="13.140625" style="77" customWidth="1"/>
    <col min="7426" max="7426" width="9.85546875" style="77" customWidth="1"/>
    <col min="7427" max="7427" width="12.28515625" style="77" customWidth="1"/>
    <col min="7428" max="7428" width="10.5703125" style="77" customWidth="1"/>
    <col min="7429" max="7429" width="9.7109375" style="77" customWidth="1"/>
    <col min="7430" max="7430" width="9.42578125" style="77" customWidth="1"/>
    <col min="7431" max="7431" width="9.140625" style="77"/>
    <col min="7432" max="7432" width="8.5703125" style="77" customWidth="1"/>
    <col min="7433" max="7433" width="10.7109375" style="77" customWidth="1"/>
    <col min="7434" max="7457" width="0" style="77" hidden="1" customWidth="1"/>
    <col min="7458" max="7459" width="9.140625" style="77" customWidth="1"/>
    <col min="7460" max="7460" width="12.85546875" style="77" customWidth="1"/>
    <col min="7461" max="7462" width="10.140625" style="77" customWidth="1"/>
    <col min="7463" max="7465" width="9.140625" style="77" customWidth="1"/>
    <col min="7466" max="7470" width="18.7109375" style="77" customWidth="1"/>
    <col min="7471" max="7616" width="9.140625" style="77" customWidth="1"/>
    <col min="7617" max="7680" width="9.140625" style="77"/>
    <col min="7681" max="7681" width="13.140625" style="77" customWidth="1"/>
    <col min="7682" max="7682" width="9.85546875" style="77" customWidth="1"/>
    <col min="7683" max="7683" width="12.28515625" style="77" customWidth="1"/>
    <col min="7684" max="7684" width="10.5703125" style="77" customWidth="1"/>
    <col min="7685" max="7685" width="9.7109375" style="77" customWidth="1"/>
    <col min="7686" max="7686" width="9.42578125" style="77" customWidth="1"/>
    <col min="7687" max="7687" width="9.140625" style="77"/>
    <col min="7688" max="7688" width="8.5703125" style="77" customWidth="1"/>
    <col min="7689" max="7689" width="10.7109375" style="77" customWidth="1"/>
    <col min="7690" max="7713" width="0" style="77" hidden="1" customWidth="1"/>
    <col min="7714" max="7715" width="9.140625" style="77" customWidth="1"/>
    <col min="7716" max="7716" width="12.85546875" style="77" customWidth="1"/>
    <col min="7717" max="7718" width="10.140625" style="77" customWidth="1"/>
    <col min="7719" max="7721" width="9.140625" style="77" customWidth="1"/>
    <col min="7722" max="7726" width="18.7109375" style="77" customWidth="1"/>
    <col min="7727" max="7872" width="9.140625" style="77" customWidth="1"/>
    <col min="7873" max="7936" width="9.140625" style="77"/>
    <col min="7937" max="7937" width="13.140625" style="77" customWidth="1"/>
    <col min="7938" max="7938" width="9.85546875" style="77" customWidth="1"/>
    <col min="7939" max="7939" width="12.28515625" style="77" customWidth="1"/>
    <col min="7940" max="7940" width="10.5703125" style="77" customWidth="1"/>
    <col min="7941" max="7941" width="9.7109375" style="77" customWidth="1"/>
    <col min="7942" max="7942" width="9.42578125" style="77" customWidth="1"/>
    <col min="7943" max="7943" width="9.140625" style="77"/>
    <col min="7944" max="7944" width="8.5703125" style="77" customWidth="1"/>
    <col min="7945" max="7945" width="10.7109375" style="77" customWidth="1"/>
    <col min="7946" max="7969" width="0" style="77" hidden="1" customWidth="1"/>
    <col min="7970" max="7971" width="9.140625" style="77" customWidth="1"/>
    <col min="7972" max="7972" width="12.85546875" style="77" customWidth="1"/>
    <col min="7973" max="7974" width="10.140625" style="77" customWidth="1"/>
    <col min="7975" max="7977" width="9.140625" style="77" customWidth="1"/>
    <col min="7978" max="7982" width="18.7109375" style="77" customWidth="1"/>
    <col min="7983" max="8128" width="9.140625" style="77" customWidth="1"/>
    <col min="8129" max="8192" width="9.140625" style="77"/>
    <col min="8193" max="8193" width="13.140625" style="77" customWidth="1"/>
    <col min="8194" max="8194" width="9.85546875" style="77" customWidth="1"/>
    <col min="8195" max="8195" width="12.28515625" style="77" customWidth="1"/>
    <col min="8196" max="8196" width="10.5703125" style="77" customWidth="1"/>
    <col min="8197" max="8197" width="9.7109375" style="77" customWidth="1"/>
    <col min="8198" max="8198" width="9.42578125" style="77" customWidth="1"/>
    <col min="8199" max="8199" width="9.140625" style="77"/>
    <col min="8200" max="8200" width="8.5703125" style="77" customWidth="1"/>
    <col min="8201" max="8201" width="10.7109375" style="77" customWidth="1"/>
    <col min="8202" max="8225" width="0" style="77" hidden="1" customWidth="1"/>
    <col min="8226" max="8227" width="9.140625" style="77" customWidth="1"/>
    <col min="8228" max="8228" width="12.85546875" style="77" customWidth="1"/>
    <col min="8229" max="8230" width="10.140625" style="77" customWidth="1"/>
    <col min="8231" max="8233" width="9.140625" style="77" customWidth="1"/>
    <col min="8234" max="8238" width="18.7109375" style="77" customWidth="1"/>
    <col min="8239" max="8384" width="9.140625" style="77" customWidth="1"/>
    <col min="8385" max="8448" width="9.140625" style="77"/>
    <col min="8449" max="8449" width="13.140625" style="77" customWidth="1"/>
    <col min="8450" max="8450" width="9.85546875" style="77" customWidth="1"/>
    <col min="8451" max="8451" width="12.28515625" style="77" customWidth="1"/>
    <col min="8452" max="8452" width="10.5703125" style="77" customWidth="1"/>
    <col min="8453" max="8453" width="9.7109375" style="77" customWidth="1"/>
    <col min="8454" max="8454" width="9.42578125" style="77" customWidth="1"/>
    <col min="8455" max="8455" width="9.140625" style="77"/>
    <col min="8456" max="8456" width="8.5703125" style="77" customWidth="1"/>
    <col min="8457" max="8457" width="10.7109375" style="77" customWidth="1"/>
    <col min="8458" max="8481" width="0" style="77" hidden="1" customWidth="1"/>
    <col min="8482" max="8483" width="9.140625" style="77" customWidth="1"/>
    <col min="8484" max="8484" width="12.85546875" style="77" customWidth="1"/>
    <col min="8485" max="8486" width="10.140625" style="77" customWidth="1"/>
    <col min="8487" max="8489" width="9.140625" style="77" customWidth="1"/>
    <col min="8490" max="8494" width="18.7109375" style="77" customWidth="1"/>
    <col min="8495" max="8640" width="9.140625" style="77" customWidth="1"/>
    <col min="8641" max="8704" width="9.140625" style="77"/>
    <col min="8705" max="8705" width="13.140625" style="77" customWidth="1"/>
    <col min="8706" max="8706" width="9.85546875" style="77" customWidth="1"/>
    <col min="8707" max="8707" width="12.28515625" style="77" customWidth="1"/>
    <col min="8708" max="8708" width="10.5703125" style="77" customWidth="1"/>
    <col min="8709" max="8709" width="9.7109375" style="77" customWidth="1"/>
    <col min="8710" max="8710" width="9.42578125" style="77" customWidth="1"/>
    <col min="8711" max="8711" width="9.140625" style="77"/>
    <col min="8712" max="8712" width="8.5703125" style="77" customWidth="1"/>
    <col min="8713" max="8713" width="10.7109375" style="77" customWidth="1"/>
    <col min="8714" max="8737" width="0" style="77" hidden="1" customWidth="1"/>
    <col min="8738" max="8739" width="9.140625" style="77" customWidth="1"/>
    <col min="8740" max="8740" width="12.85546875" style="77" customWidth="1"/>
    <col min="8741" max="8742" width="10.140625" style="77" customWidth="1"/>
    <col min="8743" max="8745" width="9.140625" style="77" customWidth="1"/>
    <col min="8746" max="8750" width="18.7109375" style="77" customWidth="1"/>
    <col min="8751" max="8896" width="9.140625" style="77" customWidth="1"/>
    <col min="8897" max="8960" width="9.140625" style="77"/>
    <col min="8961" max="8961" width="13.140625" style="77" customWidth="1"/>
    <col min="8962" max="8962" width="9.85546875" style="77" customWidth="1"/>
    <col min="8963" max="8963" width="12.28515625" style="77" customWidth="1"/>
    <col min="8964" max="8964" width="10.5703125" style="77" customWidth="1"/>
    <col min="8965" max="8965" width="9.7109375" style="77" customWidth="1"/>
    <col min="8966" max="8966" width="9.42578125" style="77" customWidth="1"/>
    <col min="8967" max="8967" width="9.140625" style="77"/>
    <col min="8968" max="8968" width="8.5703125" style="77" customWidth="1"/>
    <col min="8969" max="8969" width="10.7109375" style="77" customWidth="1"/>
    <col min="8970" max="8993" width="0" style="77" hidden="1" customWidth="1"/>
    <col min="8994" max="8995" width="9.140625" style="77" customWidth="1"/>
    <col min="8996" max="8996" width="12.85546875" style="77" customWidth="1"/>
    <col min="8997" max="8998" width="10.140625" style="77" customWidth="1"/>
    <col min="8999" max="9001" width="9.140625" style="77" customWidth="1"/>
    <col min="9002" max="9006" width="18.7109375" style="77" customWidth="1"/>
    <col min="9007" max="9152" width="9.140625" style="77" customWidth="1"/>
    <col min="9153" max="9216" width="9.140625" style="77"/>
    <col min="9217" max="9217" width="13.140625" style="77" customWidth="1"/>
    <col min="9218" max="9218" width="9.85546875" style="77" customWidth="1"/>
    <col min="9219" max="9219" width="12.28515625" style="77" customWidth="1"/>
    <col min="9220" max="9220" width="10.5703125" style="77" customWidth="1"/>
    <col min="9221" max="9221" width="9.7109375" style="77" customWidth="1"/>
    <col min="9222" max="9222" width="9.42578125" style="77" customWidth="1"/>
    <col min="9223" max="9223" width="9.140625" style="77"/>
    <col min="9224" max="9224" width="8.5703125" style="77" customWidth="1"/>
    <col min="9225" max="9225" width="10.7109375" style="77" customWidth="1"/>
    <col min="9226" max="9249" width="0" style="77" hidden="1" customWidth="1"/>
    <col min="9250" max="9251" width="9.140625" style="77" customWidth="1"/>
    <col min="9252" max="9252" width="12.85546875" style="77" customWidth="1"/>
    <col min="9253" max="9254" width="10.140625" style="77" customWidth="1"/>
    <col min="9255" max="9257" width="9.140625" style="77" customWidth="1"/>
    <col min="9258" max="9262" width="18.7109375" style="77" customWidth="1"/>
    <col min="9263" max="9408" width="9.140625" style="77" customWidth="1"/>
    <col min="9409" max="9472" width="9.140625" style="77"/>
    <col min="9473" max="9473" width="13.140625" style="77" customWidth="1"/>
    <col min="9474" max="9474" width="9.85546875" style="77" customWidth="1"/>
    <col min="9475" max="9475" width="12.28515625" style="77" customWidth="1"/>
    <col min="9476" max="9476" width="10.5703125" style="77" customWidth="1"/>
    <col min="9477" max="9477" width="9.7109375" style="77" customWidth="1"/>
    <col min="9478" max="9478" width="9.42578125" style="77" customWidth="1"/>
    <col min="9479" max="9479" width="9.140625" style="77"/>
    <col min="9480" max="9480" width="8.5703125" style="77" customWidth="1"/>
    <col min="9481" max="9481" width="10.7109375" style="77" customWidth="1"/>
    <col min="9482" max="9505" width="0" style="77" hidden="1" customWidth="1"/>
    <col min="9506" max="9507" width="9.140625" style="77" customWidth="1"/>
    <col min="9508" max="9508" width="12.85546875" style="77" customWidth="1"/>
    <col min="9509" max="9510" width="10.140625" style="77" customWidth="1"/>
    <col min="9511" max="9513" width="9.140625" style="77" customWidth="1"/>
    <col min="9514" max="9518" width="18.7109375" style="77" customWidth="1"/>
    <col min="9519" max="9664" width="9.140625" style="77" customWidth="1"/>
    <col min="9665" max="9728" width="9.140625" style="77"/>
    <col min="9729" max="9729" width="13.140625" style="77" customWidth="1"/>
    <col min="9730" max="9730" width="9.85546875" style="77" customWidth="1"/>
    <col min="9731" max="9731" width="12.28515625" style="77" customWidth="1"/>
    <col min="9732" max="9732" width="10.5703125" style="77" customWidth="1"/>
    <col min="9733" max="9733" width="9.7109375" style="77" customWidth="1"/>
    <col min="9734" max="9734" width="9.42578125" style="77" customWidth="1"/>
    <col min="9735" max="9735" width="9.140625" style="77"/>
    <col min="9736" max="9736" width="8.5703125" style="77" customWidth="1"/>
    <col min="9737" max="9737" width="10.7109375" style="77" customWidth="1"/>
    <col min="9738" max="9761" width="0" style="77" hidden="1" customWidth="1"/>
    <col min="9762" max="9763" width="9.140625" style="77" customWidth="1"/>
    <col min="9764" max="9764" width="12.85546875" style="77" customWidth="1"/>
    <col min="9765" max="9766" width="10.140625" style="77" customWidth="1"/>
    <col min="9767" max="9769" width="9.140625" style="77" customWidth="1"/>
    <col min="9770" max="9774" width="18.7109375" style="77" customWidth="1"/>
    <col min="9775" max="9920" width="9.140625" style="77" customWidth="1"/>
    <col min="9921" max="9984" width="9.140625" style="77"/>
    <col min="9985" max="9985" width="13.140625" style="77" customWidth="1"/>
    <col min="9986" max="9986" width="9.85546875" style="77" customWidth="1"/>
    <col min="9987" max="9987" width="12.28515625" style="77" customWidth="1"/>
    <col min="9988" max="9988" width="10.5703125" style="77" customWidth="1"/>
    <col min="9989" max="9989" width="9.7109375" style="77" customWidth="1"/>
    <col min="9990" max="9990" width="9.42578125" style="77" customWidth="1"/>
    <col min="9991" max="9991" width="9.140625" style="77"/>
    <col min="9992" max="9992" width="8.5703125" style="77" customWidth="1"/>
    <col min="9993" max="9993" width="10.7109375" style="77" customWidth="1"/>
    <col min="9994" max="10017" width="0" style="77" hidden="1" customWidth="1"/>
    <col min="10018" max="10019" width="9.140625" style="77" customWidth="1"/>
    <col min="10020" max="10020" width="12.85546875" style="77" customWidth="1"/>
    <col min="10021" max="10022" width="10.140625" style="77" customWidth="1"/>
    <col min="10023" max="10025" width="9.140625" style="77" customWidth="1"/>
    <col min="10026" max="10030" width="18.7109375" style="77" customWidth="1"/>
    <col min="10031" max="10176" width="9.140625" style="77" customWidth="1"/>
    <col min="10177" max="10240" width="9.140625" style="77"/>
    <col min="10241" max="10241" width="13.140625" style="77" customWidth="1"/>
    <col min="10242" max="10242" width="9.85546875" style="77" customWidth="1"/>
    <col min="10243" max="10243" width="12.28515625" style="77" customWidth="1"/>
    <col min="10244" max="10244" width="10.5703125" style="77" customWidth="1"/>
    <col min="10245" max="10245" width="9.7109375" style="77" customWidth="1"/>
    <col min="10246" max="10246" width="9.42578125" style="77" customWidth="1"/>
    <col min="10247" max="10247" width="9.140625" style="77"/>
    <col min="10248" max="10248" width="8.5703125" style="77" customWidth="1"/>
    <col min="10249" max="10249" width="10.7109375" style="77" customWidth="1"/>
    <col min="10250" max="10273" width="0" style="77" hidden="1" customWidth="1"/>
    <col min="10274" max="10275" width="9.140625" style="77" customWidth="1"/>
    <col min="10276" max="10276" width="12.85546875" style="77" customWidth="1"/>
    <col min="10277" max="10278" width="10.140625" style="77" customWidth="1"/>
    <col min="10279" max="10281" width="9.140625" style="77" customWidth="1"/>
    <col min="10282" max="10286" width="18.7109375" style="77" customWidth="1"/>
    <col min="10287" max="10432" width="9.140625" style="77" customWidth="1"/>
    <col min="10433" max="10496" width="9.140625" style="77"/>
    <col min="10497" max="10497" width="13.140625" style="77" customWidth="1"/>
    <col min="10498" max="10498" width="9.85546875" style="77" customWidth="1"/>
    <col min="10499" max="10499" width="12.28515625" style="77" customWidth="1"/>
    <col min="10500" max="10500" width="10.5703125" style="77" customWidth="1"/>
    <col min="10501" max="10501" width="9.7109375" style="77" customWidth="1"/>
    <col min="10502" max="10502" width="9.42578125" style="77" customWidth="1"/>
    <col min="10503" max="10503" width="9.140625" style="77"/>
    <col min="10504" max="10504" width="8.5703125" style="77" customWidth="1"/>
    <col min="10505" max="10505" width="10.7109375" style="77" customWidth="1"/>
    <col min="10506" max="10529" width="0" style="77" hidden="1" customWidth="1"/>
    <col min="10530" max="10531" width="9.140625" style="77" customWidth="1"/>
    <col min="10532" max="10532" width="12.85546875" style="77" customWidth="1"/>
    <col min="10533" max="10534" width="10.140625" style="77" customWidth="1"/>
    <col min="10535" max="10537" width="9.140625" style="77" customWidth="1"/>
    <col min="10538" max="10542" width="18.7109375" style="77" customWidth="1"/>
    <col min="10543" max="10688" width="9.140625" style="77" customWidth="1"/>
    <col min="10689" max="10752" width="9.140625" style="77"/>
    <col min="10753" max="10753" width="13.140625" style="77" customWidth="1"/>
    <col min="10754" max="10754" width="9.85546875" style="77" customWidth="1"/>
    <col min="10755" max="10755" width="12.28515625" style="77" customWidth="1"/>
    <col min="10756" max="10756" width="10.5703125" style="77" customWidth="1"/>
    <col min="10757" max="10757" width="9.7109375" style="77" customWidth="1"/>
    <col min="10758" max="10758" width="9.42578125" style="77" customWidth="1"/>
    <col min="10759" max="10759" width="9.140625" style="77"/>
    <col min="10760" max="10760" width="8.5703125" style="77" customWidth="1"/>
    <col min="10761" max="10761" width="10.7109375" style="77" customWidth="1"/>
    <col min="10762" max="10785" width="0" style="77" hidden="1" customWidth="1"/>
    <col min="10786" max="10787" width="9.140625" style="77" customWidth="1"/>
    <col min="10788" max="10788" width="12.85546875" style="77" customWidth="1"/>
    <col min="10789" max="10790" width="10.140625" style="77" customWidth="1"/>
    <col min="10791" max="10793" width="9.140625" style="77" customWidth="1"/>
    <col min="10794" max="10798" width="18.7109375" style="77" customWidth="1"/>
    <col min="10799" max="10944" width="9.140625" style="77" customWidth="1"/>
    <col min="10945" max="11008" width="9.140625" style="77"/>
    <col min="11009" max="11009" width="13.140625" style="77" customWidth="1"/>
    <col min="11010" max="11010" width="9.85546875" style="77" customWidth="1"/>
    <col min="11011" max="11011" width="12.28515625" style="77" customWidth="1"/>
    <col min="11012" max="11012" width="10.5703125" style="77" customWidth="1"/>
    <col min="11013" max="11013" width="9.7109375" style="77" customWidth="1"/>
    <col min="11014" max="11014" width="9.42578125" style="77" customWidth="1"/>
    <col min="11015" max="11015" width="9.140625" style="77"/>
    <col min="11016" max="11016" width="8.5703125" style="77" customWidth="1"/>
    <col min="11017" max="11017" width="10.7109375" style="77" customWidth="1"/>
    <col min="11018" max="11041" width="0" style="77" hidden="1" customWidth="1"/>
    <col min="11042" max="11043" width="9.140625" style="77" customWidth="1"/>
    <col min="11044" max="11044" width="12.85546875" style="77" customWidth="1"/>
    <col min="11045" max="11046" width="10.140625" style="77" customWidth="1"/>
    <col min="11047" max="11049" width="9.140625" style="77" customWidth="1"/>
    <col min="11050" max="11054" width="18.7109375" style="77" customWidth="1"/>
    <col min="11055" max="11200" width="9.140625" style="77" customWidth="1"/>
    <col min="11201" max="11264" width="9.140625" style="77"/>
    <col min="11265" max="11265" width="13.140625" style="77" customWidth="1"/>
    <col min="11266" max="11266" width="9.85546875" style="77" customWidth="1"/>
    <col min="11267" max="11267" width="12.28515625" style="77" customWidth="1"/>
    <col min="11268" max="11268" width="10.5703125" style="77" customWidth="1"/>
    <col min="11269" max="11269" width="9.7109375" style="77" customWidth="1"/>
    <col min="11270" max="11270" width="9.42578125" style="77" customWidth="1"/>
    <col min="11271" max="11271" width="9.140625" style="77"/>
    <col min="11272" max="11272" width="8.5703125" style="77" customWidth="1"/>
    <col min="11273" max="11273" width="10.7109375" style="77" customWidth="1"/>
    <col min="11274" max="11297" width="0" style="77" hidden="1" customWidth="1"/>
    <col min="11298" max="11299" width="9.140625" style="77" customWidth="1"/>
    <col min="11300" max="11300" width="12.85546875" style="77" customWidth="1"/>
    <col min="11301" max="11302" width="10.140625" style="77" customWidth="1"/>
    <col min="11303" max="11305" width="9.140625" style="77" customWidth="1"/>
    <col min="11306" max="11310" width="18.7109375" style="77" customWidth="1"/>
    <col min="11311" max="11456" width="9.140625" style="77" customWidth="1"/>
    <col min="11457" max="11520" width="9.140625" style="77"/>
    <col min="11521" max="11521" width="13.140625" style="77" customWidth="1"/>
    <col min="11522" max="11522" width="9.85546875" style="77" customWidth="1"/>
    <col min="11523" max="11523" width="12.28515625" style="77" customWidth="1"/>
    <col min="11524" max="11524" width="10.5703125" style="77" customWidth="1"/>
    <col min="11525" max="11525" width="9.7109375" style="77" customWidth="1"/>
    <col min="11526" max="11526" width="9.42578125" style="77" customWidth="1"/>
    <col min="11527" max="11527" width="9.140625" style="77"/>
    <col min="11528" max="11528" width="8.5703125" style="77" customWidth="1"/>
    <col min="11529" max="11529" width="10.7109375" style="77" customWidth="1"/>
    <col min="11530" max="11553" width="0" style="77" hidden="1" customWidth="1"/>
    <col min="11554" max="11555" width="9.140625" style="77" customWidth="1"/>
    <col min="11556" max="11556" width="12.85546875" style="77" customWidth="1"/>
    <col min="11557" max="11558" width="10.140625" style="77" customWidth="1"/>
    <col min="11559" max="11561" width="9.140625" style="77" customWidth="1"/>
    <col min="11562" max="11566" width="18.7109375" style="77" customWidth="1"/>
    <col min="11567" max="11712" width="9.140625" style="77" customWidth="1"/>
    <col min="11713" max="11776" width="9.140625" style="77"/>
    <col min="11777" max="11777" width="13.140625" style="77" customWidth="1"/>
    <col min="11778" max="11778" width="9.85546875" style="77" customWidth="1"/>
    <col min="11779" max="11779" width="12.28515625" style="77" customWidth="1"/>
    <col min="11780" max="11780" width="10.5703125" style="77" customWidth="1"/>
    <col min="11781" max="11781" width="9.7109375" style="77" customWidth="1"/>
    <col min="11782" max="11782" width="9.42578125" style="77" customWidth="1"/>
    <col min="11783" max="11783" width="9.140625" style="77"/>
    <col min="11784" max="11784" width="8.5703125" style="77" customWidth="1"/>
    <col min="11785" max="11785" width="10.7109375" style="77" customWidth="1"/>
    <col min="11786" max="11809" width="0" style="77" hidden="1" customWidth="1"/>
    <col min="11810" max="11811" width="9.140625" style="77" customWidth="1"/>
    <col min="11812" max="11812" width="12.85546875" style="77" customWidth="1"/>
    <col min="11813" max="11814" width="10.140625" style="77" customWidth="1"/>
    <col min="11815" max="11817" width="9.140625" style="77" customWidth="1"/>
    <col min="11818" max="11822" width="18.7109375" style="77" customWidth="1"/>
    <col min="11823" max="11968" width="9.140625" style="77" customWidth="1"/>
    <col min="11969" max="12032" width="9.140625" style="77"/>
    <col min="12033" max="12033" width="13.140625" style="77" customWidth="1"/>
    <col min="12034" max="12034" width="9.85546875" style="77" customWidth="1"/>
    <col min="12035" max="12035" width="12.28515625" style="77" customWidth="1"/>
    <col min="12036" max="12036" width="10.5703125" style="77" customWidth="1"/>
    <col min="12037" max="12037" width="9.7109375" style="77" customWidth="1"/>
    <col min="12038" max="12038" width="9.42578125" style="77" customWidth="1"/>
    <col min="12039" max="12039" width="9.140625" style="77"/>
    <col min="12040" max="12040" width="8.5703125" style="77" customWidth="1"/>
    <col min="12041" max="12041" width="10.7109375" style="77" customWidth="1"/>
    <col min="12042" max="12065" width="0" style="77" hidden="1" customWidth="1"/>
    <col min="12066" max="12067" width="9.140625" style="77" customWidth="1"/>
    <col min="12068" max="12068" width="12.85546875" style="77" customWidth="1"/>
    <col min="12069" max="12070" width="10.140625" style="77" customWidth="1"/>
    <col min="12071" max="12073" width="9.140625" style="77" customWidth="1"/>
    <col min="12074" max="12078" width="18.7109375" style="77" customWidth="1"/>
    <col min="12079" max="12224" width="9.140625" style="77" customWidth="1"/>
    <col min="12225" max="12288" width="9.140625" style="77"/>
    <col min="12289" max="12289" width="13.140625" style="77" customWidth="1"/>
    <col min="12290" max="12290" width="9.85546875" style="77" customWidth="1"/>
    <col min="12291" max="12291" width="12.28515625" style="77" customWidth="1"/>
    <col min="12292" max="12292" width="10.5703125" style="77" customWidth="1"/>
    <col min="12293" max="12293" width="9.7109375" style="77" customWidth="1"/>
    <col min="12294" max="12294" width="9.42578125" style="77" customWidth="1"/>
    <col min="12295" max="12295" width="9.140625" style="77"/>
    <col min="12296" max="12296" width="8.5703125" style="77" customWidth="1"/>
    <col min="12297" max="12297" width="10.7109375" style="77" customWidth="1"/>
    <col min="12298" max="12321" width="0" style="77" hidden="1" customWidth="1"/>
    <col min="12322" max="12323" width="9.140625" style="77" customWidth="1"/>
    <col min="12324" max="12324" width="12.85546875" style="77" customWidth="1"/>
    <col min="12325" max="12326" width="10.140625" style="77" customWidth="1"/>
    <col min="12327" max="12329" width="9.140625" style="77" customWidth="1"/>
    <col min="12330" max="12334" width="18.7109375" style="77" customWidth="1"/>
    <col min="12335" max="12480" width="9.140625" style="77" customWidth="1"/>
    <col min="12481" max="12544" width="9.140625" style="77"/>
    <col min="12545" max="12545" width="13.140625" style="77" customWidth="1"/>
    <col min="12546" max="12546" width="9.85546875" style="77" customWidth="1"/>
    <col min="12547" max="12547" width="12.28515625" style="77" customWidth="1"/>
    <col min="12548" max="12548" width="10.5703125" style="77" customWidth="1"/>
    <col min="12549" max="12549" width="9.7109375" style="77" customWidth="1"/>
    <col min="12550" max="12550" width="9.42578125" style="77" customWidth="1"/>
    <col min="12551" max="12551" width="9.140625" style="77"/>
    <col min="12552" max="12552" width="8.5703125" style="77" customWidth="1"/>
    <col min="12553" max="12553" width="10.7109375" style="77" customWidth="1"/>
    <col min="12554" max="12577" width="0" style="77" hidden="1" customWidth="1"/>
    <col min="12578" max="12579" width="9.140625" style="77" customWidth="1"/>
    <col min="12580" max="12580" width="12.85546875" style="77" customWidth="1"/>
    <col min="12581" max="12582" width="10.140625" style="77" customWidth="1"/>
    <col min="12583" max="12585" width="9.140625" style="77" customWidth="1"/>
    <col min="12586" max="12590" width="18.7109375" style="77" customWidth="1"/>
    <col min="12591" max="12736" width="9.140625" style="77" customWidth="1"/>
    <col min="12737" max="12800" width="9.140625" style="77"/>
    <col min="12801" max="12801" width="13.140625" style="77" customWidth="1"/>
    <col min="12802" max="12802" width="9.85546875" style="77" customWidth="1"/>
    <col min="12803" max="12803" width="12.28515625" style="77" customWidth="1"/>
    <col min="12804" max="12804" width="10.5703125" style="77" customWidth="1"/>
    <col min="12805" max="12805" width="9.7109375" style="77" customWidth="1"/>
    <col min="12806" max="12806" width="9.42578125" style="77" customWidth="1"/>
    <col min="12807" max="12807" width="9.140625" style="77"/>
    <col min="12808" max="12808" width="8.5703125" style="77" customWidth="1"/>
    <col min="12809" max="12809" width="10.7109375" style="77" customWidth="1"/>
    <col min="12810" max="12833" width="0" style="77" hidden="1" customWidth="1"/>
    <col min="12834" max="12835" width="9.140625" style="77" customWidth="1"/>
    <col min="12836" max="12836" width="12.85546875" style="77" customWidth="1"/>
    <col min="12837" max="12838" width="10.140625" style="77" customWidth="1"/>
    <col min="12839" max="12841" width="9.140625" style="77" customWidth="1"/>
    <col min="12842" max="12846" width="18.7109375" style="77" customWidth="1"/>
    <col min="12847" max="12992" width="9.140625" style="77" customWidth="1"/>
    <col min="12993" max="13056" width="9.140625" style="77"/>
    <col min="13057" max="13057" width="13.140625" style="77" customWidth="1"/>
    <col min="13058" max="13058" width="9.85546875" style="77" customWidth="1"/>
    <col min="13059" max="13059" width="12.28515625" style="77" customWidth="1"/>
    <col min="13060" max="13060" width="10.5703125" style="77" customWidth="1"/>
    <col min="13061" max="13061" width="9.7109375" style="77" customWidth="1"/>
    <col min="13062" max="13062" width="9.42578125" style="77" customWidth="1"/>
    <col min="13063" max="13063" width="9.140625" style="77"/>
    <col min="13064" max="13064" width="8.5703125" style="77" customWidth="1"/>
    <col min="13065" max="13065" width="10.7109375" style="77" customWidth="1"/>
    <col min="13066" max="13089" width="0" style="77" hidden="1" customWidth="1"/>
    <col min="13090" max="13091" width="9.140625" style="77" customWidth="1"/>
    <col min="13092" max="13092" width="12.85546875" style="77" customWidth="1"/>
    <col min="13093" max="13094" width="10.140625" style="77" customWidth="1"/>
    <col min="13095" max="13097" width="9.140625" style="77" customWidth="1"/>
    <col min="13098" max="13102" width="18.7109375" style="77" customWidth="1"/>
    <col min="13103" max="13248" width="9.140625" style="77" customWidth="1"/>
    <col min="13249" max="13312" width="9.140625" style="77"/>
    <col min="13313" max="13313" width="13.140625" style="77" customWidth="1"/>
    <col min="13314" max="13314" width="9.85546875" style="77" customWidth="1"/>
    <col min="13315" max="13315" width="12.28515625" style="77" customWidth="1"/>
    <col min="13316" max="13316" width="10.5703125" style="77" customWidth="1"/>
    <col min="13317" max="13317" width="9.7109375" style="77" customWidth="1"/>
    <col min="13318" max="13318" width="9.42578125" style="77" customWidth="1"/>
    <col min="13319" max="13319" width="9.140625" style="77"/>
    <col min="13320" max="13320" width="8.5703125" style="77" customWidth="1"/>
    <col min="13321" max="13321" width="10.7109375" style="77" customWidth="1"/>
    <col min="13322" max="13345" width="0" style="77" hidden="1" customWidth="1"/>
    <col min="13346" max="13347" width="9.140625" style="77" customWidth="1"/>
    <col min="13348" max="13348" width="12.85546875" style="77" customWidth="1"/>
    <col min="13349" max="13350" width="10.140625" style="77" customWidth="1"/>
    <col min="13351" max="13353" width="9.140625" style="77" customWidth="1"/>
    <col min="13354" max="13358" width="18.7109375" style="77" customWidth="1"/>
    <col min="13359" max="13504" width="9.140625" style="77" customWidth="1"/>
    <col min="13505" max="13568" width="9.140625" style="77"/>
    <col min="13569" max="13569" width="13.140625" style="77" customWidth="1"/>
    <col min="13570" max="13570" width="9.85546875" style="77" customWidth="1"/>
    <col min="13571" max="13571" width="12.28515625" style="77" customWidth="1"/>
    <col min="13572" max="13572" width="10.5703125" style="77" customWidth="1"/>
    <col min="13573" max="13573" width="9.7109375" style="77" customWidth="1"/>
    <col min="13574" max="13574" width="9.42578125" style="77" customWidth="1"/>
    <col min="13575" max="13575" width="9.140625" style="77"/>
    <col min="13576" max="13576" width="8.5703125" style="77" customWidth="1"/>
    <col min="13577" max="13577" width="10.7109375" style="77" customWidth="1"/>
    <col min="13578" max="13601" width="0" style="77" hidden="1" customWidth="1"/>
    <col min="13602" max="13603" width="9.140625" style="77" customWidth="1"/>
    <col min="13604" max="13604" width="12.85546875" style="77" customWidth="1"/>
    <col min="13605" max="13606" width="10.140625" style="77" customWidth="1"/>
    <col min="13607" max="13609" width="9.140625" style="77" customWidth="1"/>
    <col min="13610" max="13614" width="18.7109375" style="77" customWidth="1"/>
    <col min="13615" max="13760" width="9.140625" style="77" customWidth="1"/>
    <col min="13761" max="13824" width="9.140625" style="77"/>
    <col min="13825" max="13825" width="13.140625" style="77" customWidth="1"/>
    <col min="13826" max="13826" width="9.85546875" style="77" customWidth="1"/>
    <col min="13827" max="13827" width="12.28515625" style="77" customWidth="1"/>
    <col min="13828" max="13828" width="10.5703125" style="77" customWidth="1"/>
    <col min="13829" max="13829" width="9.7109375" style="77" customWidth="1"/>
    <col min="13830" max="13830" width="9.42578125" style="77" customWidth="1"/>
    <col min="13831" max="13831" width="9.140625" style="77"/>
    <col min="13832" max="13832" width="8.5703125" style="77" customWidth="1"/>
    <col min="13833" max="13833" width="10.7109375" style="77" customWidth="1"/>
    <col min="13834" max="13857" width="0" style="77" hidden="1" customWidth="1"/>
    <col min="13858" max="13859" width="9.140625" style="77" customWidth="1"/>
    <col min="13860" max="13860" width="12.85546875" style="77" customWidth="1"/>
    <col min="13861" max="13862" width="10.140625" style="77" customWidth="1"/>
    <col min="13863" max="13865" width="9.140625" style="77" customWidth="1"/>
    <col min="13866" max="13870" width="18.7109375" style="77" customWidth="1"/>
    <col min="13871" max="14016" width="9.140625" style="77" customWidth="1"/>
    <col min="14017" max="14080" width="9.140625" style="77"/>
    <col min="14081" max="14081" width="13.140625" style="77" customWidth="1"/>
    <col min="14082" max="14082" width="9.85546875" style="77" customWidth="1"/>
    <col min="14083" max="14083" width="12.28515625" style="77" customWidth="1"/>
    <col min="14084" max="14084" width="10.5703125" style="77" customWidth="1"/>
    <col min="14085" max="14085" width="9.7109375" style="77" customWidth="1"/>
    <col min="14086" max="14086" width="9.42578125" style="77" customWidth="1"/>
    <col min="14087" max="14087" width="9.140625" style="77"/>
    <col min="14088" max="14088" width="8.5703125" style="77" customWidth="1"/>
    <col min="14089" max="14089" width="10.7109375" style="77" customWidth="1"/>
    <col min="14090" max="14113" width="0" style="77" hidden="1" customWidth="1"/>
    <col min="14114" max="14115" width="9.140625" style="77" customWidth="1"/>
    <col min="14116" max="14116" width="12.85546875" style="77" customWidth="1"/>
    <col min="14117" max="14118" width="10.140625" style="77" customWidth="1"/>
    <col min="14119" max="14121" width="9.140625" style="77" customWidth="1"/>
    <col min="14122" max="14126" width="18.7109375" style="77" customWidth="1"/>
    <col min="14127" max="14272" width="9.140625" style="77" customWidth="1"/>
    <col min="14273" max="14336" width="9.140625" style="77"/>
    <col min="14337" max="14337" width="13.140625" style="77" customWidth="1"/>
    <col min="14338" max="14338" width="9.85546875" style="77" customWidth="1"/>
    <col min="14339" max="14339" width="12.28515625" style="77" customWidth="1"/>
    <col min="14340" max="14340" width="10.5703125" style="77" customWidth="1"/>
    <col min="14341" max="14341" width="9.7109375" style="77" customWidth="1"/>
    <col min="14342" max="14342" width="9.42578125" style="77" customWidth="1"/>
    <col min="14343" max="14343" width="9.140625" style="77"/>
    <col min="14344" max="14344" width="8.5703125" style="77" customWidth="1"/>
    <col min="14345" max="14345" width="10.7109375" style="77" customWidth="1"/>
    <col min="14346" max="14369" width="0" style="77" hidden="1" customWidth="1"/>
    <col min="14370" max="14371" width="9.140625" style="77" customWidth="1"/>
    <col min="14372" max="14372" width="12.85546875" style="77" customWidth="1"/>
    <col min="14373" max="14374" width="10.140625" style="77" customWidth="1"/>
    <col min="14375" max="14377" width="9.140625" style="77" customWidth="1"/>
    <col min="14378" max="14382" width="18.7109375" style="77" customWidth="1"/>
    <col min="14383" max="14528" width="9.140625" style="77" customWidth="1"/>
    <col min="14529" max="14592" width="9.140625" style="77"/>
    <col min="14593" max="14593" width="13.140625" style="77" customWidth="1"/>
    <col min="14594" max="14594" width="9.85546875" style="77" customWidth="1"/>
    <col min="14595" max="14595" width="12.28515625" style="77" customWidth="1"/>
    <col min="14596" max="14596" width="10.5703125" style="77" customWidth="1"/>
    <col min="14597" max="14597" width="9.7109375" style="77" customWidth="1"/>
    <col min="14598" max="14598" width="9.42578125" style="77" customWidth="1"/>
    <col min="14599" max="14599" width="9.140625" style="77"/>
    <col min="14600" max="14600" width="8.5703125" style="77" customWidth="1"/>
    <col min="14601" max="14601" width="10.7109375" style="77" customWidth="1"/>
    <col min="14602" max="14625" width="0" style="77" hidden="1" customWidth="1"/>
    <col min="14626" max="14627" width="9.140625" style="77" customWidth="1"/>
    <col min="14628" max="14628" width="12.85546875" style="77" customWidth="1"/>
    <col min="14629" max="14630" width="10.140625" style="77" customWidth="1"/>
    <col min="14631" max="14633" width="9.140625" style="77" customWidth="1"/>
    <col min="14634" max="14638" width="18.7109375" style="77" customWidth="1"/>
    <col min="14639" max="14784" width="9.140625" style="77" customWidth="1"/>
    <col min="14785" max="14848" width="9.140625" style="77"/>
    <col min="14849" max="14849" width="13.140625" style="77" customWidth="1"/>
    <col min="14850" max="14850" width="9.85546875" style="77" customWidth="1"/>
    <col min="14851" max="14851" width="12.28515625" style="77" customWidth="1"/>
    <col min="14852" max="14852" width="10.5703125" style="77" customWidth="1"/>
    <col min="14853" max="14853" width="9.7109375" style="77" customWidth="1"/>
    <col min="14854" max="14854" width="9.42578125" style="77" customWidth="1"/>
    <col min="14855" max="14855" width="9.140625" style="77"/>
    <col min="14856" max="14856" width="8.5703125" style="77" customWidth="1"/>
    <col min="14857" max="14857" width="10.7109375" style="77" customWidth="1"/>
    <col min="14858" max="14881" width="0" style="77" hidden="1" customWidth="1"/>
    <col min="14882" max="14883" width="9.140625" style="77" customWidth="1"/>
    <col min="14884" max="14884" width="12.85546875" style="77" customWidth="1"/>
    <col min="14885" max="14886" width="10.140625" style="77" customWidth="1"/>
    <col min="14887" max="14889" width="9.140625" style="77" customWidth="1"/>
    <col min="14890" max="14894" width="18.7109375" style="77" customWidth="1"/>
    <col min="14895" max="15040" width="9.140625" style="77" customWidth="1"/>
    <col min="15041" max="15104" width="9.140625" style="77"/>
    <col min="15105" max="15105" width="13.140625" style="77" customWidth="1"/>
    <col min="15106" max="15106" width="9.85546875" style="77" customWidth="1"/>
    <col min="15107" max="15107" width="12.28515625" style="77" customWidth="1"/>
    <col min="15108" max="15108" width="10.5703125" style="77" customWidth="1"/>
    <col min="15109" max="15109" width="9.7109375" style="77" customWidth="1"/>
    <col min="15110" max="15110" width="9.42578125" style="77" customWidth="1"/>
    <col min="15111" max="15111" width="9.140625" style="77"/>
    <col min="15112" max="15112" width="8.5703125" style="77" customWidth="1"/>
    <col min="15113" max="15113" width="10.7109375" style="77" customWidth="1"/>
    <col min="15114" max="15137" width="0" style="77" hidden="1" customWidth="1"/>
    <col min="15138" max="15139" width="9.140625" style="77" customWidth="1"/>
    <col min="15140" max="15140" width="12.85546875" style="77" customWidth="1"/>
    <col min="15141" max="15142" width="10.140625" style="77" customWidth="1"/>
    <col min="15143" max="15145" width="9.140625" style="77" customWidth="1"/>
    <col min="15146" max="15150" width="18.7109375" style="77" customWidth="1"/>
    <col min="15151" max="15296" width="9.140625" style="77" customWidth="1"/>
    <col min="15297" max="15360" width="9.140625" style="77"/>
    <col min="15361" max="15361" width="13.140625" style="77" customWidth="1"/>
    <col min="15362" max="15362" width="9.85546875" style="77" customWidth="1"/>
    <col min="15363" max="15363" width="12.28515625" style="77" customWidth="1"/>
    <col min="15364" max="15364" width="10.5703125" style="77" customWidth="1"/>
    <col min="15365" max="15365" width="9.7109375" style="77" customWidth="1"/>
    <col min="15366" max="15366" width="9.42578125" style="77" customWidth="1"/>
    <col min="15367" max="15367" width="9.140625" style="77"/>
    <col min="15368" max="15368" width="8.5703125" style="77" customWidth="1"/>
    <col min="15369" max="15369" width="10.7109375" style="77" customWidth="1"/>
    <col min="15370" max="15393" width="0" style="77" hidden="1" customWidth="1"/>
    <col min="15394" max="15395" width="9.140625" style="77" customWidth="1"/>
    <col min="15396" max="15396" width="12.85546875" style="77" customWidth="1"/>
    <col min="15397" max="15398" width="10.140625" style="77" customWidth="1"/>
    <col min="15399" max="15401" width="9.140625" style="77" customWidth="1"/>
    <col min="15402" max="15406" width="18.7109375" style="77" customWidth="1"/>
    <col min="15407" max="15552" width="9.140625" style="77" customWidth="1"/>
    <col min="15553" max="15616" width="9.140625" style="77"/>
    <col min="15617" max="15617" width="13.140625" style="77" customWidth="1"/>
    <col min="15618" max="15618" width="9.85546875" style="77" customWidth="1"/>
    <col min="15619" max="15619" width="12.28515625" style="77" customWidth="1"/>
    <col min="15620" max="15620" width="10.5703125" style="77" customWidth="1"/>
    <col min="15621" max="15621" width="9.7109375" style="77" customWidth="1"/>
    <col min="15622" max="15622" width="9.42578125" style="77" customWidth="1"/>
    <col min="15623" max="15623" width="9.140625" style="77"/>
    <col min="15624" max="15624" width="8.5703125" style="77" customWidth="1"/>
    <col min="15625" max="15625" width="10.7109375" style="77" customWidth="1"/>
    <col min="15626" max="15649" width="0" style="77" hidden="1" customWidth="1"/>
    <col min="15650" max="15651" width="9.140625" style="77" customWidth="1"/>
    <col min="15652" max="15652" width="12.85546875" style="77" customWidth="1"/>
    <col min="15653" max="15654" width="10.140625" style="77" customWidth="1"/>
    <col min="15655" max="15657" width="9.140625" style="77" customWidth="1"/>
    <col min="15658" max="15662" width="18.7109375" style="77" customWidth="1"/>
    <col min="15663" max="15808" width="9.140625" style="77" customWidth="1"/>
    <col min="15809" max="15872" width="9.140625" style="77"/>
    <col min="15873" max="15873" width="13.140625" style="77" customWidth="1"/>
    <col min="15874" max="15874" width="9.85546875" style="77" customWidth="1"/>
    <col min="15875" max="15875" width="12.28515625" style="77" customWidth="1"/>
    <col min="15876" max="15876" width="10.5703125" style="77" customWidth="1"/>
    <col min="15877" max="15877" width="9.7109375" style="77" customWidth="1"/>
    <col min="15878" max="15878" width="9.42578125" style="77" customWidth="1"/>
    <col min="15879" max="15879" width="9.140625" style="77"/>
    <col min="15880" max="15880" width="8.5703125" style="77" customWidth="1"/>
    <col min="15881" max="15881" width="10.7109375" style="77" customWidth="1"/>
    <col min="15882" max="15905" width="0" style="77" hidden="1" customWidth="1"/>
    <col min="15906" max="15907" width="9.140625" style="77" customWidth="1"/>
    <col min="15908" max="15908" width="12.85546875" style="77" customWidth="1"/>
    <col min="15909" max="15910" width="10.140625" style="77" customWidth="1"/>
    <col min="15911" max="15913" width="9.140625" style="77" customWidth="1"/>
    <col min="15914" max="15918" width="18.7109375" style="77" customWidth="1"/>
    <col min="15919" max="16064" width="9.140625" style="77" customWidth="1"/>
    <col min="16065" max="16128" width="9.140625" style="77"/>
    <col min="16129" max="16129" width="13.140625" style="77" customWidth="1"/>
    <col min="16130" max="16130" width="9.85546875" style="77" customWidth="1"/>
    <col min="16131" max="16131" width="12.28515625" style="77" customWidth="1"/>
    <col min="16132" max="16132" width="10.5703125" style="77" customWidth="1"/>
    <col min="16133" max="16133" width="9.7109375" style="77" customWidth="1"/>
    <col min="16134" max="16134" width="9.42578125" style="77" customWidth="1"/>
    <col min="16135" max="16135" width="9.140625" style="77"/>
    <col min="16136" max="16136" width="8.5703125" style="77" customWidth="1"/>
    <col min="16137" max="16137" width="10.7109375" style="77" customWidth="1"/>
    <col min="16138" max="16161" width="0" style="77" hidden="1" customWidth="1"/>
    <col min="16162" max="16163" width="9.140625" style="77" customWidth="1"/>
    <col min="16164" max="16164" width="12.85546875" style="77" customWidth="1"/>
    <col min="16165" max="16166" width="10.140625" style="77" customWidth="1"/>
    <col min="16167" max="16169" width="9.140625" style="77" customWidth="1"/>
    <col min="16170" max="16174" width="18.7109375" style="77" customWidth="1"/>
    <col min="16175" max="16320" width="9.140625" style="77" customWidth="1"/>
    <col min="16321" max="16384" width="9.140625" style="77"/>
  </cols>
  <sheetData>
    <row r="1" spans="1:122" ht="15.75">
      <c r="A1" s="7" t="s">
        <v>620</v>
      </c>
      <c r="B1" s="8"/>
      <c r="C1" s="9"/>
      <c r="D1" s="9"/>
      <c r="E1" s="9"/>
      <c r="F1" s="9"/>
      <c r="G1" s="634"/>
      <c r="H1" s="634"/>
      <c r="I1" s="635"/>
      <c r="J1" s="12"/>
      <c r="K1" s="769" t="s">
        <v>25</v>
      </c>
      <c r="L1" s="1266" t="s">
        <v>55</v>
      </c>
      <c r="M1" s="769"/>
      <c r="N1" s="753"/>
      <c r="O1" s="753"/>
      <c r="P1" s="753"/>
      <c r="Q1" s="753"/>
      <c r="R1" s="753"/>
      <c r="S1" s="753"/>
      <c r="T1" s="758"/>
      <c r="U1" s="753"/>
      <c r="V1" s="753"/>
      <c r="W1" s="753"/>
      <c r="X1" s="753"/>
      <c r="Y1" s="753"/>
      <c r="Z1" s="753"/>
      <c r="AA1" s="753"/>
      <c r="AB1" s="753"/>
      <c r="AC1" s="753"/>
      <c r="AD1" s="753"/>
      <c r="AE1" s="753"/>
      <c r="AF1" s="753"/>
      <c r="AG1" s="753"/>
      <c r="AH1" s="1405" t="str">
        <f>Doc!$K$1</f>
        <v>Version 2.3 Updated 8/1/16</v>
      </c>
      <c r="AI1" s="1406"/>
      <c r="AJ1" s="753"/>
      <c r="AK1" s="753"/>
      <c r="AL1" s="753"/>
      <c r="AM1" s="753"/>
      <c r="AN1" s="753"/>
      <c r="AO1" s="753"/>
      <c r="AP1" s="565" t="s">
        <v>1215</v>
      </c>
      <c r="AQ1" s="566"/>
      <c r="AR1" s="566"/>
      <c r="AS1" s="566"/>
      <c r="AT1" s="566"/>
      <c r="AU1" s="566"/>
      <c r="AV1" s="566"/>
      <c r="AW1" s="566"/>
      <c r="AX1" s="566"/>
      <c r="AY1" s="566"/>
      <c r="AZ1" s="566"/>
      <c r="BA1" s="566"/>
      <c r="BB1" s="636"/>
      <c r="BC1" s="753"/>
      <c r="BD1" s="753"/>
      <c r="BE1" s="753"/>
      <c r="BF1" s="753"/>
      <c r="BG1" s="753"/>
      <c r="BH1" s="753"/>
      <c r="BI1" s="753"/>
      <c r="BJ1" s="753"/>
      <c r="BK1" s="753"/>
      <c r="BL1" s="753"/>
      <c r="BM1" s="753"/>
      <c r="BN1" s="753"/>
      <c r="BO1" s="753"/>
      <c r="BP1" s="753"/>
      <c r="BQ1" s="753"/>
      <c r="BR1" s="753"/>
      <c r="BS1" s="753"/>
      <c r="BT1" s="753"/>
      <c r="BU1" s="753"/>
      <c r="BV1" s="753"/>
      <c r="BW1" s="753"/>
      <c r="BX1" s="753"/>
      <c r="BY1" s="753"/>
      <c r="BZ1" s="753"/>
      <c r="CA1" s="753"/>
      <c r="CB1" s="753"/>
      <c r="CC1" s="753"/>
      <c r="CD1" s="753"/>
      <c r="CE1" s="753"/>
      <c r="CF1" s="753"/>
      <c r="CG1" s="753"/>
      <c r="CH1" s="753"/>
      <c r="CI1" s="753"/>
      <c r="CJ1" s="753"/>
      <c r="CK1" s="753"/>
      <c r="CL1" s="753"/>
      <c r="CM1" s="753"/>
      <c r="CN1" s="753"/>
      <c r="CO1" s="753"/>
      <c r="CP1" s="753"/>
      <c r="CQ1" s="753"/>
      <c r="CR1" s="753"/>
      <c r="CS1" s="753"/>
      <c r="CT1" s="753"/>
      <c r="CU1" s="753"/>
      <c r="CV1" s="753"/>
      <c r="CW1" s="753"/>
      <c r="CX1" s="753"/>
      <c r="CY1" s="753"/>
      <c r="CZ1" s="753"/>
      <c r="DA1" s="753"/>
      <c r="DB1" s="753"/>
      <c r="DC1" s="753"/>
      <c r="DD1" s="753"/>
      <c r="DE1" s="753"/>
      <c r="DF1" s="753"/>
      <c r="DG1" s="753"/>
      <c r="DH1" s="767"/>
      <c r="DI1" s="776"/>
      <c r="DM1" s="753"/>
      <c r="DN1" s="916"/>
    </row>
    <row r="2" spans="1:122" ht="12.75" customHeight="1">
      <c r="A2" s="22" t="s">
        <v>1227</v>
      </c>
      <c r="B2" s="23"/>
      <c r="C2" s="23"/>
      <c r="D2" s="23"/>
      <c r="E2" s="23"/>
      <c r="F2" s="23"/>
      <c r="G2" s="23"/>
      <c r="H2" s="23"/>
      <c r="I2" s="24"/>
      <c r="J2" s="25"/>
      <c r="K2" s="769" t="s">
        <v>25</v>
      </c>
      <c r="L2" s="769" t="s">
        <v>25</v>
      </c>
      <c r="M2" s="769" t="s">
        <v>25</v>
      </c>
      <c r="N2" s="753"/>
      <c r="O2" s="1267"/>
      <c r="P2" s="753"/>
      <c r="Q2" s="753"/>
      <c r="R2" s="753"/>
      <c r="S2" s="753"/>
      <c r="T2" s="758"/>
      <c r="U2" s="753"/>
      <c r="V2" s="753"/>
      <c r="W2" s="753"/>
      <c r="X2" s="753"/>
      <c r="Y2" s="753"/>
      <c r="Z2" s="753"/>
      <c r="AA2" s="753"/>
      <c r="AB2" s="753"/>
      <c r="AC2" s="753"/>
      <c r="AD2" s="753"/>
      <c r="AE2" s="753"/>
      <c r="AF2" s="753"/>
      <c r="AG2" s="753"/>
      <c r="AH2" s="753"/>
      <c r="AI2" s="753"/>
      <c r="AJ2" s="753"/>
      <c r="AK2" s="753"/>
      <c r="AL2" s="753"/>
      <c r="AM2" s="753"/>
      <c r="AN2" s="753"/>
      <c r="AO2" s="753"/>
      <c r="AP2" s="568" t="s">
        <v>621</v>
      </c>
      <c r="AQ2" s="637"/>
      <c r="AR2" s="637"/>
      <c r="AS2" s="637"/>
      <c r="AT2" s="637"/>
      <c r="AU2" s="637"/>
      <c r="AV2" s="637"/>
      <c r="AW2" s="637"/>
      <c r="AX2" s="637"/>
      <c r="AY2" s="637"/>
      <c r="AZ2" s="637"/>
      <c r="BA2" s="637"/>
      <c r="BB2" s="638"/>
      <c r="BC2" s="753"/>
      <c r="BD2" s="753"/>
      <c r="BE2" s="753"/>
      <c r="BF2" s="753"/>
      <c r="BG2" s="753"/>
      <c r="BH2" s="753"/>
      <c r="BI2" s="753"/>
      <c r="BJ2" s="753"/>
      <c r="BK2" s="753"/>
      <c r="BL2" s="753"/>
      <c r="BM2" s="753"/>
      <c r="BN2" s="753"/>
      <c r="BO2" s="753"/>
      <c r="BP2" s="753"/>
      <c r="BQ2" s="753"/>
      <c r="BR2" s="753"/>
      <c r="BS2" s="753"/>
      <c r="BT2" s="753"/>
      <c r="BU2" s="753"/>
      <c r="BV2" s="753"/>
      <c r="BW2" s="753"/>
      <c r="BX2" s="753"/>
      <c r="BY2" s="753"/>
      <c r="BZ2" s="753"/>
      <c r="CA2" s="753"/>
      <c r="CB2" s="753"/>
      <c r="CC2" s="753"/>
      <c r="CD2" s="753"/>
      <c r="CE2" s="753"/>
      <c r="CF2" s="753"/>
      <c r="CG2" s="753"/>
      <c r="CH2" s="753"/>
      <c r="CI2" s="753"/>
      <c r="CJ2" s="753"/>
      <c r="CK2" s="753"/>
      <c r="CL2" s="753"/>
      <c r="CM2" s="753"/>
      <c r="CN2" s="753"/>
      <c r="CO2" s="753"/>
      <c r="CP2" s="753"/>
      <c r="CQ2" s="753"/>
      <c r="CR2" s="753"/>
      <c r="CS2" s="753"/>
      <c r="CT2" s="753"/>
      <c r="CU2" s="753"/>
      <c r="CV2" s="753"/>
      <c r="CW2" s="753"/>
      <c r="CX2" s="753"/>
      <c r="CY2" s="753"/>
      <c r="CZ2" s="753"/>
      <c r="DA2" s="753"/>
      <c r="DB2" s="753"/>
      <c r="DC2" s="753"/>
      <c r="DD2" s="753"/>
      <c r="DE2" s="753"/>
      <c r="DF2" s="753"/>
      <c r="DG2" s="753"/>
      <c r="DH2" s="753"/>
      <c r="DI2" s="776"/>
      <c r="DM2" s="753"/>
      <c r="DN2" s="769"/>
      <c r="DO2" s="778"/>
      <c r="DR2" s="917"/>
    </row>
    <row r="3" spans="1:122" ht="12.75" customHeight="1">
      <c r="A3" s="29" t="s">
        <v>622</v>
      </c>
      <c r="B3" s="30"/>
      <c r="C3" s="31"/>
      <c r="D3" s="31"/>
      <c r="E3" s="31"/>
      <c r="F3" s="31"/>
      <c r="G3" s="31"/>
      <c r="H3" s="31"/>
      <c r="I3" s="32"/>
      <c r="J3" s="33"/>
      <c r="K3" s="1065" t="s">
        <v>28</v>
      </c>
      <c r="L3" s="1066" t="s">
        <v>1228</v>
      </c>
      <c r="M3" s="1269"/>
      <c r="N3" s="1269"/>
      <c r="O3" s="1269"/>
      <c r="P3" s="1269"/>
      <c r="Q3" s="1270"/>
      <c r="R3" s="773"/>
      <c r="S3" s="773"/>
      <c r="T3" s="1066" t="s">
        <v>1215</v>
      </c>
      <c r="U3" s="1185"/>
      <c r="V3" s="1185"/>
      <c r="W3" s="1185"/>
      <c r="X3" s="1185"/>
      <c r="Y3" s="1185"/>
      <c r="Z3" s="1185"/>
      <c r="AA3" s="1185"/>
      <c r="AB3" s="1185"/>
      <c r="AC3" s="1270"/>
      <c r="AD3" s="753"/>
      <c r="AE3" s="753"/>
      <c r="AF3" s="753"/>
      <c r="AG3" s="753"/>
      <c r="AH3" s="753"/>
      <c r="AI3" s="753"/>
      <c r="AJ3" s="753"/>
      <c r="AK3" s="753"/>
      <c r="AL3" s="753"/>
      <c r="AM3" s="753"/>
      <c r="AN3" s="753"/>
      <c r="AO3" s="753"/>
      <c r="AP3" s="574"/>
      <c r="AQ3" s="578"/>
      <c r="AR3" s="578"/>
      <c r="AS3" s="578"/>
      <c r="AT3" s="575"/>
      <c r="AU3" s="639"/>
      <c r="AV3" s="639"/>
      <c r="AW3" s="640"/>
      <c r="AX3" s="641" t="s">
        <v>623</v>
      </c>
      <c r="AY3" s="642"/>
      <c r="AZ3" s="642"/>
      <c r="BA3" s="642"/>
      <c r="BB3" s="643"/>
      <c r="BC3" s="753"/>
      <c r="BD3" s="753"/>
      <c r="BE3" s="753"/>
      <c r="BF3" s="753"/>
      <c r="BG3" s="753"/>
      <c r="BH3" s="753"/>
      <c r="BI3" s="753"/>
      <c r="BJ3" s="753"/>
      <c r="BK3" s="753"/>
      <c r="BL3" s="753"/>
      <c r="BM3" s="753"/>
      <c r="BN3" s="753"/>
      <c r="BO3" s="753"/>
      <c r="BP3" s="753"/>
      <c r="BQ3" s="753"/>
      <c r="BR3" s="753"/>
      <c r="BS3" s="753"/>
      <c r="BT3" s="753"/>
      <c r="BU3" s="753"/>
      <c r="BV3" s="753"/>
      <c r="BW3" s="753"/>
      <c r="BX3" s="753"/>
      <c r="BY3" s="753"/>
      <c r="BZ3" s="753"/>
      <c r="CA3" s="753"/>
      <c r="CB3" s="753"/>
      <c r="CC3" s="753"/>
      <c r="CD3" s="753"/>
      <c r="CE3" s="753"/>
      <c r="CF3" s="753"/>
      <c r="CG3" s="753"/>
      <c r="CH3" s="753"/>
      <c r="CI3" s="753"/>
      <c r="CJ3" s="753"/>
      <c r="CK3" s="753"/>
      <c r="CL3" s="753"/>
      <c r="CM3" s="753"/>
      <c r="CN3" s="753"/>
      <c r="CO3" s="753"/>
      <c r="CP3" s="753"/>
      <c r="CQ3" s="753"/>
      <c r="CR3" s="753"/>
      <c r="CS3" s="753"/>
      <c r="CT3" s="753"/>
      <c r="CU3" s="753"/>
      <c r="CV3" s="753"/>
      <c r="CW3" s="753"/>
      <c r="CX3" s="753"/>
      <c r="CY3" s="753"/>
      <c r="CZ3" s="753"/>
      <c r="DA3" s="753"/>
      <c r="DB3" s="753"/>
      <c r="DC3" s="753"/>
      <c r="DD3" s="753"/>
      <c r="DE3" s="753"/>
      <c r="DF3" s="753"/>
      <c r="DG3" s="753"/>
      <c r="DH3" s="753"/>
      <c r="DI3" s="776"/>
      <c r="DM3" s="753"/>
      <c r="DN3" s="811"/>
      <c r="DR3" s="778"/>
    </row>
    <row r="4" spans="1:122" ht="12.75" customHeight="1">
      <c r="A4" s="644" t="s">
        <v>24</v>
      </c>
      <c r="B4" s="247"/>
      <c r="C4" s="248"/>
      <c r="D4" s="248"/>
      <c r="E4" s="248"/>
      <c r="F4" s="40" t="s">
        <v>40</v>
      </c>
      <c r="G4" s="372"/>
      <c r="H4" s="373"/>
      <c r="I4" s="374"/>
      <c r="J4" s="33"/>
      <c r="K4" s="1065" t="s">
        <v>30</v>
      </c>
      <c r="L4" s="1271" t="s">
        <v>145</v>
      </c>
      <c r="M4" s="1272"/>
      <c r="N4" s="1272"/>
      <c r="O4" s="1272"/>
      <c r="P4" s="1272"/>
      <c r="Q4" s="1273"/>
      <c r="R4" s="773"/>
      <c r="S4" s="773"/>
      <c r="T4" s="1271" t="s">
        <v>624</v>
      </c>
      <c r="U4" s="1186"/>
      <c r="V4" s="1186"/>
      <c r="W4" s="1186"/>
      <c r="X4" s="1186"/>
      <c r="Y4" s="1186"/>
      <c r="Z4" s="1186"/>
      <c r="AA4" s="1186"/>
      <c r="AB4" s="1186"/>
      <c r="AC4" s="1273"/>
      <c r="AD4" s="753"/>
      <c r="AE4" s="753"/>
      <c r="AF4" s="753"/>
      <c r="AG4" s="753"/>
      <c r="AH4" s="753"/>
      <c r="AI4" s="754"/>
      <c r="AJ4" s="755"/>
      <c r="AK4" s="755"/>
      <c r="AL4" s="756"/>
      <c r="AM4" s="753"/>
      <c r="AN4" s="753"/>
      <c r="AO4" s="753"/>
      <c r="AP4" s="582" t="s">
        <v>625</v>
      </c>
      <c r="AQ4" s="584"/>
      <c r="AR4" s="584"/>
      <c r="AS4" s="584"/>
      <c r="AT4" s="583"/>
      <c r="AU4" s="645" t="s">
        <v>109</v>
      </c>
      <c r="AV4" s="646" t="s">
        <v>626</v>
      </c>
      <c r="AW4" s="647" t="s">
        <v>627</v>
      </c>
      <c r="AX4" s="585" t="s">
        <v>628</v>
      </c>
      <c r="AY4" s="648"/>
      <c r="AZ4" s="648"/>
      <c r="BA4" s="648"/>
      <c r="BB4" s="638"/>
      <c r="BC4" s="753"/>
      <c r="BD4" s="753"/>
      <c r="BE4" s="753"/>
      <c r="BF4" s="753"/>
      <c r="BG4" s="753"/>
      <c r="BH4" s="753"/>
      <c r="BI4" s="753"/>
      <c r="BJ4" s="753"/>
      <c r="BK4" s="753"/>
      <c r="BL4" s="753"/>
      <c r="BM4" s="753"/>
      <c r="BN4" s="753"/>
      <c r="BO4" s="753"/>
      <c r="BP4" s="753"/>
      <c r="BQ4" s="753"/>
      <c r="BR4" s="753"/>
      <c r="BS4" s="753"/>
      <c r="BT4" s="753"/>
      <c r="BU4" s="753"/>
      <c r="BV4" s="753"/>
      <c r="BW4" s="753"/>
      <c r="BX4" s="753"/>
      <c r="BY4" s="753"/>
      <c r="BZ4" s="753"/>
      <c r="CA4" s="753"/>
      <c r="CB4" s="753"/>
      <c r="CC4" s="753"/>
      <c r="CD4" s="753"/>
      <c r="CE4" s="753"/>
      <c r="CF4" s="753"/>
      <c r="CG4" s="753"/>
      <c r="CH4" s="753"/>
      <c r="CI4" s="753"/>
      <c r="CJ4" s="753"/>
      <c r="CK4" s="753"/>
      <c r="CL4" s="753"/>
      <c r="CM4" s="753"/>
      <c r="CN4" s="753"/>
      <c r="CO4" s="753"/>
      <c r="CP4" s="753"/>
      <c r="CQ4" s="753"/>
      <c r="CR4" s="753"/>
      <c r="CS4" s="753"/>
      <c r="CT4" s="753"/>
      <c r="CU4" s="753"/>
      <c r="CV4" s="753"/>
      <c r="CW4" s="753"/>
      <c r="CX4" s="753"/>
      <c r="CY4" s="753"/>
      <c r="CZ4" s="753"/>
      <c r="DA4" s="753"/>
      <c r="DB4" s="753"/>
      <c r="DC4" s="753"/>
      <c r="DD4" s="753"/>
      <c r="DE4" s="753"/>
      <c r="DF4" s="753"/>
      <c r="DG4" s="753"/>
      <c r="DH4" s="753"/>
      <c r="DI4" s="776"/>
      <c r="DM4" s="753"/>
      <c r="DN4" s="778"/>
      <c r="DO4" s="753"/>
      <c r="DR4" s="819"/>
    </row>
    <row r="5" spans="1:122" ht="12.75" customHeight="1">
      <c r="A5" s="644" t="s">
        <v>26</v>
      </c>
      <c r="B5" s="649"/>
      <c r="C5" s="250"/>
      <c r="D5" s="250"/>
      <c r="E5" s="250"/>
      <c r="F5" s="6" t="s">
        <v>41</v>
      </c>
      <c r="G5" s="251"/>
      <c r="H5" s="6" t="s">
        <v>39</v>
      </c>
      <c r="I5" s="251"/>
      <c r="J5" s="33"/>
      <c r="K5" s="1065" t="s">
        <v>27</v>
      </c>
      <c r="L5" s="1274" t="s">
        <v>37</v>
      </c>
      <c r="M5" s="1275" t="s">
        <v>69</v>
      </c>
      <c r="N5" s="1275" t="s">
        <v>70</v>
      </c>
      <c r="O5" s="1275" t="s">
        <v>71</v>
      </c>
      <c r="P5" s="1275" t="s">
        <v>72</v>
      </c>
      <c r="Q5" s="1275" t="s">
        <v>73</v>
      </c>
      <c r="R5" s="769" t="s">
        <v>56</v>
      </c>
      <c r="S5" s="769"/>
      <c r="T5" s="1276"/>
      <c r="U5" s="1277"/>
      <c r="V5" s="1278"/>
      <c r="W5" s="1279"/>
      <c r="X5" s="1279"/>
      <c r="Y5" s="1271" t="s">
        <v>629</v>
      </c>
      <c r="Z5" s="1272"/>
      <c r="AA5" s="1272"/>
      <c r="AB5" s="1272"/>
      <c r="AC5" s="1273"/>
      <c r="AD5" s="769"/>
      <c r="AE5" s="769"/>
      <c r="AF5" s="769"/>
      <c r="AG5" s="769"/>
      <c r="AH5" s="754" t="s">
        <v>491</v>
      </c>
      <c r="AI5" s="755"/>
      <c r="AJ5" s="755"/>
      <c r="AK5" s="756"/>
      <c r="AL5" s="753"/>
      <c r="AM5" s="753"/>
      <c r="AN5" s="753"/>
      <c r="AO5" s="753"/>
      <c r="AP5" s="585"/>
      <c r="AQ5" s="586"/>
      <c r="AR5" s="586"/>
      <c r="AS5" s="586"/>
      <c r="AT5" s="587"/>
      <c r="AU5" s="650"/>
      <c r="AV5" s="651"/>
      <c r="AW5" s="650"/>
      <c r="AX5" s="650" t="s">
        <v>630</v>
      </c>
      <c r="AY5" s="650" t="s">
        <v>33</v>
      </c>
      <c r="AZ5" s="650" t="s">
        <v>32</v>
      </c>
      <c r="BA5" s="650" t="s">
        <v>35</v>
      </c>
      <c r="BB5" s="650" t="s">
        <v>36</v>
      </c>
      <c r="BC5" s="753"/>
      <c r="BD5" s="753"/>
      <c r="BE5" s="753"/>
      <c r="BF5" s="753"/>
      <c r="BG5" s="753"/>
      <c r="BH5" s="753"/>
      <c r="BI5" s="753"/>
      <c r="BJ5" s="753"/>
      <c r="BK5" s="753"/>
      <c r="BL5" s="753"/>
      <c r="BM5" s="753"/>
      <c r="BN5" s="753"/>
      <c r="BO5" s="753"/>
      <c r="BP5" s="753"/>
      <c r="BQ5" s="753"/>
      <c r="BR5" s="753"/>
      <c r="BS5" s="753"/>
      <c r="BT5" s="753"/>
      <c r="BU5" s="753"/>
      <c r="BV5" s="753"/>
      <c r="BW5" s="753"/>
      <c r="BX5" s="753"/>
      <c r="BY5" s="753"/>
      <c r="BZ5" s="753"/>
      <c r="CA5" s="753"/>
      <c r="CB5" s="753"/>
      <c r="CC5" s="753"/>
      <c r="CD5" s="753"/>
      <c r="CE5" s="753"/>
      <c r="CF5" s="753"/>
      <c r="CG5" s="753"/>
      <c r="CH5" s="753"/>
      <c r="CI5" s="757"/>
      <c r="CJ5" s="757"/>
      <c r="CK5" s="757"/>
      <c r="CL5" s="757"/>
      <c r="CM5" s="757"/>
      <c r="CN5" s="757"/>
      <c r="CO5" s="757"/>
      <c r="CP5" s="757"/>
      <c r="CQ5" s="757"/>
      <c r="CR5" s="757"/>
      <c r="CS5" s="757"/>
      <c r="CT5" s="757"/>
      <c r="CU5" s="757"/>
      <c r="CV5" s="757"/>
      <c r="CW5" s="757"/>
      <c r="CX5" s="757"/>
      <c r="CY5" s="757"/>
      <c r="CZ5" s="757"/>
      <c r="DA5" s="757"/>
      <c r="DB5" s="757"/>
      <c r="DC5" s="757"/>
      <c r="DD5" s="757"/>
      <c r="DE5" s="757"/>
      <c r="DF5" s="757"/>
      <c r="DG5" s="757"/>
      <c r="DH5" s="753"/>
      <c r="DI5" s="776"/>
      <c r="DM5" s="753"/>
      <c r="DN5" s="778"/>
      <c r="DO5" s="753"/>
      <c r="DR5" s="819"/>
    </row>
    <row r="6" spans="1:122" ht="12.75" customHeight="1">
      <c r="A6" s="49"/>
      <c r="B6" s="33"/>
      <c r="C6" s="33"/>
      <c r="D6" s="33"/>
      <c r="E6" s="33"/>
      <c r="F6" s="33"/>
      <c r="G6" s="720"/>
      <c r="H6" s="25"/>
      <c r="I6" s="1248"/>
      <c r="J6" s="50"/>
      <c r="K6" s="1065" t="s">
        <v>34</v>
      </c>
      <c r="L6" s="888" t="s">
        <v>29</v>
      </c>
      <c r="M6" s="888">
        <v>0.8</v>
      </c>
      <c r="N6" s="888">
        <v>0.8</v>
      </c>
      <c r="O6" s="888">
        <v>0.8</v>
      </c>
      <c r="P6" s="888">
        <v>0.8</v>
      </c>
      <c r="Q6" s="888">
        <v>0.8</v>
      </c>
      <c r="R6" s="150">
        <v>0.8</v>
      </c>
      <c r="S6" s="774"/>
      <c r="T6" s="1271" t="s">
        <v>631</v>
      </c>
      <c r="U6" s="1273"/>
      <c r="V6" s="1280" t="s">
        <v>109</v>
      </c>
      <c r="W6" s="1281" t="s">
        <v>13</v>
      </c>
      <c r="X6" s="1280" t="s">
        <v>155</v>
      </c>
      <c r="Y6" s="1282" t="s">
        <v>630</v>
      </c>
      <c r="Z6" s="1280" t="s">
        <v>33</v>
      </c>
      <c r="AA6" s="1280" t="s">
        <v>32</v>
      </c>
      <c r="AB6" s="1280" t="s">
        <v>35</v>
      </c>
      <c r="AC6" s="1280" t="s">
        <v>36</v>
      </c>
      <c r="AD6" s="774"/>
      <c r="AE6" s="774"/>
      <c r="AF6" s="774"/>
      <c r="AG6" s="774"/>
      <c r="AH6" s="1419" t="s">
        <v>575</v>
      </c>
      <c r="AI6" s="1419"/>
      <c r="AJ6" s="1419"/>
      <c r="AK6" s="1419"/>
      <c r="AL6" s="753"/>
      <c r="AM6" s="753"/>
      <c r="AN6" s="757"/>
      <c r="AO6" s="757"/>
      <c r="AP6" s="1410" t="s">
        <v>632</v>
      </c>
      <c r="AQ6" s="1411"/>
      <c r="AR6" s="1411"/>
      <c r="AS6" s="1411"/>
      <c r="AT6" s="1412"/>
      <c r="AU6" s="652">
        <v>3</v>
      </c>
      <c r="AV6" s="652" t="s">
        <v>633</v>
      </c>
      <c r="AW6" s="652">
        <v>2.5</v>
      </c>
      <c r="AX6" s="653" t="s">
        <v>110</v>
      </c>
      <c r="AY6" s="653" t="s">
        <v>110</v>
      </c>
      <c r="AZ6" s="652">
        <v>160</v>
      </c>
      <c r="BA6" s="652">
        <v>100</v>
      </c>
      <c r="BB6" s="652">
        <v>100</v>
      </c>
      <c r="BC6" s="757"/>
      <c r="BD6" s="757"/>
      <c r="BE6" s="757"/>
      <c r="BF6" s="757"/>
      <c r="BG6" s="757"/>
      <c r="BH6" s="757"/>
      <c r="BI6" s="757"/>
      <c r="BJ6" s="757"/>
      <c r="BK6" s="757"/>
      <c r="BL6" s="757"/>
      <c r="BM6" s="757"/>
      <c r="BN6" s="757"/>
      <c r="BO6" s="757"/>
      <c r="BP6" s="757"/>
      <c r="BQ6" s="757"/>
      <c r="BR6" s="757"/>
      <c r="BS6" s="757"/>
      <c r="BT6" s="757"/>
      <c r="BU6" s="757"/>
      <c r="BV6" s="757"/>
      <c r="BW6" s="757"/>
      <c r="BX6" s="757"/>
      <c r="BY6" s="757"/>
      <c r="BZ6" s="757"/>
      <c r="CA6" s="757"/>
      <c r="CB6" s="757"/>
      <c r="CC6" s="757"/>
      <c r="CD6" s="757"/>
      <c r="CE6" s="757"/>
      <c r="CF6" s="757"/>
      <c r="CG6" s="757"/>
      <c r="CH6" s="757"/>
      <c r="CI6" s="757"/>
      <c r="CJ6" s="757"/>
      <c r="CK6" s="757"/>
      <c r="CL6" s="757"/>
      <c r="CM6" s="757"/>
      <c r="CN6" s="757"/>
      <c r="CO6" s="757"/>
      <c r="CP6" s="757"/>
      <c r="CQ6" s="757"/>
      <c r="CR6" s="757"/>
      <c r="CS6" s="757"/>
      <c r="CT6" s="757"/>
      <c r="CU6" s="757"/>
      <c r="CV6" s="757"/>
      <c r="CW6" s="757"/>
      <c r="CX6" s="757"/>
      <c r="CY6" s="757"/>
      <c r="CZ6" s="757"/>
      <c r="DA6" s="757"/>
      <c r="DB6" s="757"/>
      <c r="DC6" s="757"/>
      <c r="DD6" s="757"/>
      <c r="DE6" s="757"/>
      <c r="DF6" s="757"/>
      <c r="DG6" s="757"/>
      <c r="DH6" s="757"/>
      <c r="DI6" s="776"/>
      <c r="DM6" s="753"/>
      <c r="DN6" s="811"/>
    </row>
    <row r="7" spans="1:122" ht="12.75" customHeight="1">
      <c r="A7" s="54" t="s">
        <v>57</v>
      </c>
      <c r="B7" s="33"/>
      <c r="C7" s="33"/>
      <c r="D7" s="39"/>
      <c r="E7" s="1249"/>
      <c r="F7" s="33"/>
      <c r="G7" s="33"/>
      <c r="H7" s="33"/>
      <c r="I7" s="375"/>
      <c r="J7" s="57"/>
      <c r="K7" s="774">
        <v>1</v>
      </c>
      <c r="L7" s="897" t="s">
        <v>31</v>
      </c>
      <c r="M7" s="897">
        <v>1</v>
      </c>
      <c r="N7" s="897">
        <v>1</v>
      </c>
      <c r="O7" s="897">
        <v>1</v>
      </c>
      <c r="P7" s="897">
        <v>1</v>
      </c>
      <c r="Q7" s="897">
        <v>1</v>
      </c>
      <c r="R7" s="150">
        <v>1</v>
      </c>
      <c r="S7" s="779"/>
      <c r="T7" s="1283" t="s">
        <v>634</v>
      </c>
      <c r="U7" s="1227" t="s">
        <v>635</v>
      </c>
      <c r="V7" s="1284">
        <v>3</v>
      </c>
      <c r="W7" s="1284">
        <v>2</v>
      </c>
      <c r="X7" s="1284">
        <v>2.5</v>
      </c>
      <c r="Y7" s="1284" t="s">
        <v>110</v>
      </c>
      <c r="Z7" s="1284" t="s">
        <v>110</v>
      </c>
      <c r="AA7" s="1284" t="s">
        <v>110</v>
      </c>
      <c r="AB7" s="1284" t="s">
        <v>110</v>
      </c>
      <c r="AC7" s="1284" t="s">
        <v>110</v>
      </c>
      <c r="AD7" s="757"/>
      <c r="AE7" s="757"/>
      <c r="AF7" s="757"/>
      <c r="AG7" s="757"/>
      <c r="AH7" s="757"/>
      <c r="AI7" s="757"/>
      <c r="AJ7" s="757"/>
      <c r="AK7" s="757"/>
      <c r="AL7" s="757"/>
      <c r="AM7" s="757"/>
      <c r="AN7" s="757"/>
      <c r="AO7" s="757"/>
      <c r="AP7" s="1407" t="s">
        <v>636</v>
      </c>
      <c r="AQ7" s="1408"/>
      <c r="AR7" s="1408"/>
      <c r="AS7" s="1408"/>
      <c r="AT7" s="1409"/>
      <c r="AU7" s="654">
        <v>2</v>
      </c>
      <c r="AV7" s="654" t="s">
        <v>637</v>
      </c>
      <c r="AW7" s="654">
        <v>2.5</v>
      </c>
      <c r="AX7" s="655" t="s">
        <v>110</v>
      </c>
      <c r="AY7" s="655" t="s">
        <v>110</v>
      </c>
      <c r="AZ7" s="654">
        <v>100</v>
      </c>
      <c r="BA7" s="654">
        <v>60</v>
      </c>
      <c r="BB7" s="654">
        <v>60</v>
      </c>
      <c r="BC7" s="757"/>
      <c r="BD7" s="757"/>
      <c r="BE7" s="757"/>
      <c r="BF7" s="757"/>
      <c r="BG7" s="757"/>
      <c r="BH7" s="757"/>
      <c r="BI7" s="757"/>
      <c r="BJ7" s="757"/>
      <c r="BK7" s="757"/>
      <c r="BL7" s="757"/>
      <c r="BM7" s="757"/>
      <c r="BN7" s="757"/>
      <c r="BO7" s="757"/>
      <c r="BP7" s="757"/>
      <c r="BQ7" s="757"/>
      <c r="BR7" s="757"/>
      <c r="BS7" s="757"/>
      <c r="BT7" s="757"/>
      <c r="BU7" s="757"/>
      <c r="BV7" s="757"/>
      <c r="BW7" s="757"/>
      <c r="BX7" s="757"/>
      <c r="BY7" s="757"/>
      <c r="BZ7" s="757"/>
      <c r="CA7" s="757"/>
      <c r="CB7" s="757"/>
      <c r="CC7" s="757"/>
      <c r="CD7" s="757"/>
      <c r="CE7" s="757"/>
      <c r="CF7" s="757"/>
      <c r="CG7" s="757"/>
      <c r="CH7" s="757"/>
      <c r="CI7" s="757"/>
      <c r="CJ7" s="757"/>
      <c r="CK7" s="757"/>
      <c r="CL7" s="757"/>
      <c r="CM7" s="757"/>
      <c r="CN7" s="757"/>
      <c r="CO7" s="757"/>
      <c r="CP7" s="757"/>
      <c r="CQ7" s="757"/>
      <c r="CR7" s="757"/>
      <c r="CS7" s="757"/>
      <c r="CT7" s="757"/>
      <c r="CU7" s="757"/>
      <c r="CV7" s="757"/>
      <c r="CW7" s="757"/>
      <c r="CX7" s="757"/>
      <c r="CY7" s="757"/>
      <c r="CZ7" s="757"/>
      <c r="DA7" s="757"/>
      <c r="DB7" s="757"/>
      <c r="DC7" s="757"/>
      <c r="DD7" s="757"/>
      <c r="DE7" s="757"/>
      <c r="DF7" s="757"/>
      <c r="DG7" s="757"/>
      <c r="DH7" s="757"/>
      <c r="DI7" s="776"/>
      <c r="DM7" s="753"/>
      <c r="DN7" s="778"/>
      <c r="DO7" s="753"/>
      <c r="DR7" s="819"/>
    </row>
    <row r="8" spans="1:122" ht="12.75" customHeight="1">
      <c r="A8" s="140"/>
      <c r="B8" s="234" t="s">
        <v>405</v>
      </c>
      <c r="C8" s="285" t="s">
        <v>30</v>
      </c>
      <c r="D8" s="780" t="s">
        <v>406</v>
      </c>
      <c r="E8" s="780"/>
      <c r="F8" s="780"/>
      <c r="G8" s="780"/>
      <c r="H8" s="780"/>
      <c r="I8" s="848"/>
      <c r="J8" s="57"/>
      <c r="K8" s="774">
        <v>1.25</v>
      </c>
      <c r="L8" s="897" t="s">
        <v>33</v>
      </c>
      <c r="M8" s="897">
        <v>1.2</v>
      </c>
      <c r="N8" s="897">
        <v>1.2</v>
      </c>
      <c r="O8" s="897">
        <v>1.1000000000000001</v>
      </c>
      <c r="P8" s="897">
        <v>1</v>
      </c>
      <c r="Q8" s="897">
        <v>1</v>
      </c>
      <c r="R8" s="242">
        <f>IF($C$12&lt;=0.25,1.2,IF(AND($C$12&gt;0.25,$C$12&lt;=0.5),(1.2-1.2)*($C$12-0.25)/(0.5-0.25)+1.2,IF(AND($C$12&gt;0.5,$C$12&lt;=0.75),(1.1-1.2)*($C$12-0.5)/(0.75-0.5)+1.2,IF(AND($C$12&gt;0.75,$C$12&lt;=1),(1-1.1)*($C$12-0.75)/(1-0.75)+1.1,IF(AND($C$12&gt;1,$C$12&lt;=1.25),(1-1)*($C$12-1)/(1.25-1)+1,1)))))</f>
        <v>1.2</v>
      </c>
      <c r="S8" s="758"/>
      <c r="T8" s="1285" t="s">
        <v>638</v>
      </c>
      <c r="U8" s="1233" t="s">
        <v>639</v>
      </c>
      <c r="V8" s="1286">
        <v>2.5</v>
      </c>
      <c r="W8" s="1286">
        <v>2</v>
      </c>
      <c r="X8" s="1286">
        <v>2</v>
      </c>
      <c r="Y8" s="1286" t="s">
        <v>110</v>
      </c>
      <c r="Z8" s="1286" t="s">
        <v>110</v>
      </c>
      <c r="AA8" s="1286" t="s">
        <v>110</v>
      </c>
      <c r="AB8" s="1286" t="s">
        <v>110</v>
      </c>
      <c r="AC8" s="1286" t="s">
        <v>110</v>
      </c>
      <c r="AD8" s="1287"/>
      <c r="AE8" s="1287"/>
      <c r="AF8" s="1287"/>
      <c r="AG8" s="1287"/>
      <c r="AH8" s="61" t="s">
        <v>506</v>
      </c>
      <c r="AI8" s="62"/>
      <c r="AJ8" s="62"/>
      <c r="AK8" s="63"/>
      <c r="AL8" s="589"/>
      <c r="AM8" s="589"/>
      <c r="AN8" s="759"/>
      <c r="AO8" s="757"/>
      <c r="AP8" s="1407" t="s">
        <v>640</v>
      </c>
      <c r="AQ8" s="1408"/>
      <c r="AR8" s="1408"/>
      <c r="AS8" s="1408"/>
      <c r="AT8" s="1409"/>
      <c r="AU8" s="657">
        <v>2</v>
      </c>
      <c r="AV8" s="654" t="s">
        <v>637</v>
      </c>
      <c r="AW8" s="657">
        <v>2</v>
      </c>
      <c r="AX8" s="658" t="s">
        <v>110</v>
      </c>
      <c r="AY8" s="658" t="s">
        <v>110</v>
      </c>
      <c r="AZ8" s="658" t="s">
        <v>110</v>
      </c>
      <c r="BA8" s="658" t="s">
        <v>110</v>
      </c>
      <c r="BB8" s="658" t="s">
        <v>110</v>
      </c>
      <c r="BC8" s="757"/>
      <c r="BD8" s="757"/>
      <c r="BE8" s="757"/>
      <c r="BF8" s="757"/>
      <c r="BG8" s="757"/>
      <c r="BH8" s="757"/>
      <c r="BI8" s="757"/>
      <c r="BJ8" s="757"/>
      <c r="BK8" s="757"/>
      <c r="BL8" s="757"/>
      <c r="BM8" s="757"/>
      <c r="BN8" s="757"/>
      <c r="BO8" s="757"/>
      <c r="BP8" s="757"/>
      <c r="BQ8" s="757"/>
      <c r="BR8" s="757"/>
      <c r="BS8" s="757"/>
      <c r="BT8" s="757"/>
      <c r="BU8" s="757"/>
      <c r="BV8" s="757"/>
      <c r="BW8" s="757"/>
      <c r="BX8" s="757"/>
      <c r="BY8" s="757"/>
      <c r="BZ8" s="757"/>
      <c r="CA8" s="757"/>
      <c r="CB8" s="757"/>
      <c r="CC8" s="757"/>
      <c r="CD8" s="757"/>
      <c r="CE8" s="757"/>
      <c r="CF8" s="757"/>
      <c r="CG8" s="757"/>
      <c r="CH8" s="757"/>
      <c r="CI8" s="757"/>
      <c r="CJ8" s="757"/>
      <c r="CK8" s="757"/>
      <c r="CL8" s="757"/>
      <c r="CM8" s="757"/>
      <c r="CN8" s="757"/>
      <c r="CO8" s="757"/>
      <c r="CP8" s="757"/>
      <c r="CQ8" s="757"/>
      <c r="CR8" s="757"/>
      <c r="CS8" s="757"/>
      <c r="CT8" s="757"/>
      <c r="CU8" s="757"/>
      <c r="CV8" s="757"/>
      <c r="CW8" s="757"/>
      <c r="CX8" s="757"/>
      <c r="CY8" s="757"/>
      <c r="CZ8" s="757"/>
      <c r="DA8" s="757"/>
      <c r="DB8" s="757"/>
      <c r="DC8" s="757"/>
      <c r="DD8" s="757"/>
      <c r="DE8" s="757"/>
      <c r="DF8" s="757"/>
      <c r="DG8" s="757"/>
      <c r="DH8" s="757"/>
      <c r="DI8" s="776"/>
      <c r="DM8" s="753"/>
      <c r="DN8" s="778"/>
      <c r="DO8" s="753"/>
      <c r="DR8" s="819"/>
    </row>
    <row r="9" spans="1:122" ht="12.75" customHeight="1">
      <c r="A9" s="140"/>
      <c r="B9" s="234" t="s">
        <v>641</v>
      </c>
      <c r="C9" s="897">
        <v>1</v>
      </c>
      <c r="D9" s="1057" t="s">
        <v>407</v>
      </c>
      <c r="E9" s="780"/>
      <c r="F9" s="780"/>
      <c r="G9" s="780"/>
      <c r="H9" s="780"/>
      <c r="I9" s="848"/>
      <c r="J9" s="57"/>
      <c r="K9" s="774">
        <v>1.5</v>
      </c>
      <c r="L9" s="897" t="s">
        <v>32</v>
      </c>
      <c r="M9" s="897">
        <v>1.6</v>
      </c>
      <c r="N9" s="897">
        <v>1.4</v>
      </c>
      <c r="O9" s="897">
        <v>1.2</v>
      </c>
      <c r="P9" s="897">
        <v>1.1000000000000001</v>
      </c>
      <c r="Q9" s="897">
        <v>1</v>
      </c>
      <c r="R9" s="242">
        <f>IF($C$12&lt;=0.25,1.6,IF(AND($C$12&gt;0.25,$C$12&lt;=0.5),(1.4-1.6)*($C$12-0.25)/(0.5-0.25)+1.6,IF(AND($C$12&gt;0.5,$C$12&lt;=0.75),(1.2-1.4)*($C$12-0.5)/(0.75-0.5)+1.4,IF(AND($C$12&gt;0.75,$C$12&lt;=1),(1.1-1.2)*($C$12-0.75)/(1-0.75)+1.2,IF(AND($C$12&gt;1,$C$12&lt;=1.25),(1-1.1)*($C$12-1)/(1.25-1)+1.1,1)))))</f>
        <v>1.5184</v>
      </c>
      <c r="S9" s="758"/>
      <c r="T9" s="1288" t="s">
        <v>642</v>
      </c>
      <c r="U9" s="1233" t="s">
        <v>643</v>
      </c>
      <c r="V9" s="1289">
        <v>2</v>
      </c>
      <c r="W9" s="1289">
        <v>2</v>
      </c>
      <c r="X9" s="1289">
        <v>2</v>
      </c>
      <c r="Y9" s="1289" t="s">
        <v>110</v>
      </c>
      <c r="Z9" s="1289" t="s">
        <v>110</v>
      </c>
      <c r="AA9" s="1289" t="s">
        <v>110</v>
      </c>
      <c r="AB9" s="1289" t="s">
        <v>110</v>
      </c>
      <c r="AC9" s="1289" t="s">
        <v>110</v>
      </c>
      <c r="AD9" s="1287"/>
      <c r="AE9" s="1287"/>
      <c r="AF9" s="1287"/>
      <c r="AG9" s="1287"/>
      <c r="AH9" s="1377" t="s">
        <v>507</v>
      </c>
      <c r="AI9" s="1420"/>
      <c r="AJ9" s="1420"/>
      <c r="AK9" s="1420"/>
      <c r="AL9" s="1420"/>
      <c r="AM9" s="1420"/>
      <c r="AN9" s="760"/>
      <c r="AO9" s="757"/>
      <c r="AP9" s="1407" t="s">
        <v>644</v>
      </c>
      <c r="AQ9" s="1408"/>
      <c r="AR9" s="1408"/>
      <c r="AS9" s="1408"/>
      <c r="AT9" s="1409"/>
      <c r="AU9" s="659">
        <v>3</v>
      </c>
      <c r="AV9" s="654" t="s">
        <v>637</v>
      </c>
      <c r="AW9" s="659">
        <v>2</v>
      </c>
      <c r="AX9" s="658" t="s">
        <v>110</v>
      </c>
      <c r="AY9" s="658" t="s">
        <v>110</v>
      </c>
      <c r="AZ9" s="658" t="s">
        <v>110</v>
      </c>
      <c r="BA9" s="658" t="s">
        <v>110</v>
      </c>
      <c r="BB9" s="658" t="s">
        <v>110</v>
      </c>
      <c r="BC9" s="757"/>
      <c r="BD9" s="757"/>
      <c r="BE9" s="757"/>
      <c r="BF9" s="757"/>
      <c r="BG9" s="757"/>
      <c r="BH9" s="757"/>
      <c r="BI9" s="757"/>
      <c r="BJ9" s="757"/>
      <c r="BK9" s="757"/>
      <c r="BL9" s="757"/>
      <c r="BM9" s="757"/>
      <c r="BN9" s="757"/>
      <c r="BO9" s="757"/>
      <c r="BP9" s="757"/>
      <c r="BQ9" s="757"/>
      <c r="BR9" s="757"/>
      <c r="BS9" s="757"/>
      <c r="BT9" s="757"/>
      <c r="BU9" s="757"/>
      <c r="BV9" s="757"/>
      <c r="BW9" s="757"/>
      <c r="BX9" s="757"/>
      <c r="BY9" s="757"/>
      <c r="BZ9" s="757"/>
      <c r="CA9" s="757"/>
      <c r="CB9" s="757"/>
      <c r="CC9" s="757"/>
      <c r="CD9" s="757"/>
      <c r="CE9" s="757"/>
      <c r="CF9" s="757"/>
      <c r="CG9" s="757"/>
      <c r="CH9" s="757"/>
      <c r="CI9" s="757"/>
      <c r="CJ9" s="757"/>
      <c r="CK9" s="757"/>
      <c r="CL9" s="757"/>
      <c r="CM9" s="757"/>
      <c r="CN9" s="757"/>
      <c r="CO9" s="757"/>
      <c r="CP9" s="757"/>
      <c r="CQ9" s="757"/>
      <c r="CR9" s="757"/>
      <c r="CS9" s="757"/>
      <c r="CT9" s="757"/>
      <c r="CU9" s="757"/>
      <c r="CV9" s="757"/>
      <c r="CW9" s="757"/>
      <c r="CX9" s="757"/>
      <c r="CY9" s="757"/>
      <c r="CZ9" s="757"/>
      <c r="DA9" s="757"/>
      <c r="DB9" s="757"/>
      <c r="DC9" s="757"/>
      <c r="DD9" s="757"/>
      <c r="DE9" s="757"/>
      <c r="DF9" s="757"/>
      <c r="DG9" s="757"/>
      <c r="DH9" s="757"/>
      <c r="DI9" s="776"/>
      <c r="DM9" s="753"/>
      <c r="DN9" s="778"/>
      <c r="DO9" s="753"/>
      <c r="DR9" s="819"/>
    </row>
    <row r="10" spans="1:122" ht="12.75" customHeight="1">
      <c r="A10" s="140"/>
      <c r="B10" s="185" t="s">
        <v>144</v>
      </c>
      <c r="C10" s="2" t="s">
        <v>32</v>
      </c>
      <c r="D10" s="1057" t="s">
        <v>408</v>
      </c>
      <c r="E10" s="780"/>
      <c r="F10" s="849"/>
      <c r="G10" s="780"/>
      <c r="H10" s="780"/>
      <c r="I10" s="848"/>
      <c r="J10" s="57"/>
      <c r="K10" s="819" t="s">
        <v>29</v>
      </c>
      <c r="L10" s="897" t="s">
        <v>35</v>
      </c>
      <c r="M10" s="897">
        <v>2.5</v>
      </c>
      <c r="N10" s="897">
        <v>1.7</v>
      </c>
      <c r="O10" s="897">
        <v>1.2</v>
      </c>
      <c r="P10" s="897">
        <v>0.9</v>
      </c>
      <c r="Q10" s="897">
        <v>0.9</v>
      </c>
      <c r="R10" s="242">
        <f>IF($C$12&lt;=0.25,2.5,IF(AND($C$12&gt;0.25,$C$12&lt;=0.5),(1.7-2.5)*($C$12-0.25)/(0.5-0.25)+2.5,IF(AND($C$12&gt;0.5,$C$12&lt;=0.75),(1.2-1.7)*($C$12-0.5)/(0.75-0.5)+1.7,IF(AND($C$12&gt;0.75,$C$12&lt;=1),(0.9-1.2)*($C$12-0.75)/(1-0.75)+1.2,IF(AND($C$12&gt;1,$C$12&lt;=1.25),0.9,0.9)))))</f>
        <v>2.1736</v>
      </c>
      <c r="S10" s="758"/>
      <c r="T10" s="1288" t="s">
        <v>645</v>
      </c>
      <c r="U10" s="1233" t="s">
        <v>646</v>
      </c>
      <c r="V10" s="1289">
        <v>3.25</v>
      </c>
      <c r="W10" s="1289">
        <v>2</v>
      </c>
      <c r="X10" s="1289">
        <v>2</v>
      </c>
      <c r="Y10" s="1289" t="s">
        <v>110</v>
      </c>
      <c r="Z10" s="1289" t="s">
        <v>110</v>
      </c>
      <c r="AA10" s="1289" t="s">
        <v>110</v>
      </c>
      <c r="AB10" s="1289" t="s">
        <v>110</v>
      </c>
      <c r="AC10" s="1289" t="s">
        <v>110</v>
      </c>
      <c r="AD10" s="1287"/>
      <c r="AE10" s="1287"/>
      <c r="AF10" s="1287"/>
      <c r="AG10" s="1287"/>
      <c r="AH10" s="757"/>
      <c r="AI10" s="760"/>
      <c r="AJ10" s="760"/>
      <c r="AK10" s="760"/>
      <c r="AL10" s="760"/>
      <c r="AM10" s="760"/>
      <c r="AN10" s="760"/>
      <c r="AO10" s="757"/>
      <c r="AP10" s="1407" t="s">
        <v>647</v>
      </c>
      <c r="AQ10" s="1408"/>
      <c r="AR10" s="1408"/>
      <c r="AS10" s="1408"/>
      <c r="AT10" s="1409"/>
      <c r="AU10" s="657">
        <v>2</v>
      </c>
      <c r="AV10" s="654" t="s">
        <v>637</v>
      </c>
      <c r="AW10" s="657">
        <v>2</v>
      </c>
      <c r="AX10" s="658" t="s">
        <v>110</v>
      </c>
      <c r="AY10" s="658" t="s">
        <v>110</v>
      </c>
      <c r="AZ10" s="658" t="s">
        <v>110</v>
      </c>
      <c r="BA10" s="658" t="s">
        <v>110</v>
      </c>
      <c r="BB10" s="658" t="s">
        <v>110</v>
      </c>
      <c r="BC10" s="757"/>
      <c r="BD10" s="757"/>
      <c r="BE10" s="757"/>
      <c r="BF10" s="757"/>
      <c r="BG10" s="757"/>
      <c r="BH10" s="757"/>
      <c r="BI10" s="757"/>
      <c r="BJ10" s="757"/>
      <c r="BK10" s="757"/>
      <c r="BL10" s="757"/>
      <c r="BM10" s="757"/>
      <c r="BN10" s="757"/>
      <c r="BO10" s="757"/>
      <c r="BP10" s="757"/>
      <c r="BQ10" s="757"/>
      <c r="BR10" s="757"/>
      <c r="BS10" s="757"/>
      <c r="BT10" s="757"/>
      <c r="BU10" s="757"/>
      <c r="BV10" s="757"/>
      <c r="BW10" s="757"/>
      <c r="BX10" s="757"/>
      <c r="BY10" s="757"/>
      <c r="BZ10" s="757"/>
      <c r="CA10" s="757"/>
      <c r="CB10" s="757"/>
      <c r="CC10" s="757"/>
      <c r="CD10" s="757"/>
      <c r="CE10" s="757"/>
      <c r="CF10" s="757"/>
      <c r="CG10" s="757"/>
      <c r="CH10" s="757"/>
      <c r="CI10" s="757"/>
      <c r="CJ10" s="757"/>
      <c r="CK10" s="757"/>
      <c r="CL10" s="757"/>
      <c r="CM10" s="757"/>
      <c r="CN10" s="757"/>
      <c r="CO10" s="757"/>
      <c r="CP10" s="757"/>
      <c r="CQ10" s="757"/>
      <c r="CR10" s="757"/>
      <c r="CS10" s="757"/>
      <c r="CT10" s="757"/>
      <c r="CU10" s="757"/>
      <c r="CV10" s="757"/>
      <c r="CW10" s="757"/>
      <c r="CX10" s="757"/>
      <c r="CY10" s="757"/>
      <c r="CZ10" s="757"/>
      <c r="DA10" s="757"/>
      <c r="DB10" s="757"/>
      <c r="DC10" s="757"/>
      <c r="DD10" s="757"/>
      <c r="DE10" s="757"/>
      <c r="DF10" s="757"/>
      <c r="DG10" s="757"/>
      <c r="DH10" s="757"/>
      <c r="DI10" s="776"/>
      <c r="DM10" s="753"/>
      <c r="DN10" s="778"/>
      <c r="DO10" s="753"/>
      <c r="DR10" s="819"/>
    </row>
    <row r="11" spans="1:122" ht="12.75" customHeight="1">
      <c r="A11" s="660"/>
      <c r="B11" s="185" t="s">
        <v>42</v>
      </c>
      <c r="C11" s="284"/>
      <c r="D11" s="1057" t="str">
        <f>IF($C$11="","(not required)","")</f>
        <v>(not required)</v>
      </c>
      <c r="E11" s="780"/>
      <c r="F11" s="849"/>
      <c r="G11" s="780"/>
      <c r="H11" s="780"/>
      <c r="I11" s="861" t="s">
        <v>649</v>
      </c>
      <c r="J11" s="57"/>
      <c r="K11" s="819" t="s">
        <v>31</v>
      </c>
      <c r="L11" s="890" t="s">
        <v>36</v>
      </c>
      <c r="M11" s="890" t="s">
        <v>38</v>
      </c>
      <c r="N11" s="890" t="s">
        <v>38</v>
      </c>
      <c r="O11" s="890" t="s">
        <v>38</v>
      </c>
      <c r="P11" s="890" t="s">
        <v>38</v>
      </c>
      <c r="Q11" s="890" t="s">
        <v>38</v>
      </c>
      <c r="R11" s="778" t="s">
        <v>38</v>
      </c>
      <c r="S11" s="758"/>
      <c r="T11" s="1288" t="s">
        <v>650</v>
      </c>
      <c r="U11" s="1233" t="s">
        <v>651</v>
      </c>
      <c r="V11" s="1289">
        <v>1.5</v>
      </c>
      <c r="W11" s="1289">
        <v>1.5</v>
      </c>
      <c r="X11" s="1289">
        <v>1.5</v>
      </c>
      <c r="Y11" s="1289" t="s">
        <v>110</v>
      </c>
      <c r="Z11" s="1289" t="s">
        <v>110</v>
      </c>
      <c r="AA11" s="1289" t="s">
        <v>110</v>
      </c>
      <c r="AB11" s="1289" t="s">
        <v>110</v>
      </c>
      <c r="AC11" s="1289" t="s">
        <v>110</v>
      </c>
      <c r="AD11" s="1287"/>
      <c r="AE11" s="1287"/>
      <c r="AF11" s="1287"/>
      <c r="AG11" s="1287"/>
      <c r="AH11" s="757"/>
      <c r="AI11" s="762"/>
      <c r="AJ11" s="762"/>
      <c r="AK11" s="762"/>
      <c r="AL11" s="762"/>
      <c r="AM11" s="762"/>
      <c r="AN11" s="762"/>
      <c r="AO11" s="757"/>
      <c r="AP11" s="1413" t="s">
        <v>652</v>
      </c>
      <c r="AQ11" s="1414"/>
      <c r="AR11" s="1414"/>
      <c r="AS11" s="1414"/>
      <c r="AT11" s="1415"/>
      <c r="AU11" s="661">
        <v>3</v>
      </c>
      <c r="AV11" s="661" t="s">
        <v>633</v>
      </c>
      <c r="AW11" s="661">
        <v>2</v>
      </c>
      <c r="AX11" s="662" t="s">
        <v>110</v>
      </c>
      <c r="AY11" s="662" t="s">
        <v>110</v>
      </c>
      <c r="AZ11" s="662" t="s">
        <v>110</v>
      </c>
      <c r="BA11" s="662" t="s">
        <v>110</v>
      </c>
      <c r="BB11" s="662" t="s">
        <v>110</v>
      </c>
      <c r="BC11" s="757"/>
      <c r="BD11" s="757"/>
      <c r="BE11" s="757"/>
      <c r="BF11" s="757"/>
      <c r="BG11" s="757"/>
      <c r="BH11" s="757"/>
      <c r="BI11" s="757"/>
      <c r="BJ11" s="757"/>
      <c r="BK11" s="757"/>
      <c r="BL11" s="757"/>
      <c r="BM11" s="757"/>
      <c r="BN11" s="757"/>
      <c r="BO11" s="757"/>
      <c r="BP11" s="757"/>
      <c r="BQ11" s="757"/>
      <c r="BR11" s="757"/>
      <c r="BS11" s="757"/>
      <c r="BT11" s="757"/>
      <c r="BU11" s="757"/>
      <c r="BV11" s="757"/>
      <c r="BW11" s="757"/>
      <c r="BX11" s="757"/>
      <c r="BY11" s="757"/>
      <c r="BZ11" s="757"/>
      <c r="CA11" s="757"/>
      <c r="CB11" s="757"/>
      <c r="CC11" s="757"/>
      <c r="CD11" s="757"/>
      <c r="CE11" s="757"/>
      <c r="CF11" s="757"/>
      <c r="CG11" s="757"/>
      <c r="CH11" s="757"/>
      <c r="CI11" s="757"/>
      <c r="CJ11" s="757"/>
      <c r="CK11" s="757"/>
      <c r="CL11" s="757"/>
      <c r="CM11" s="757"/>
      <c r="CN11" s="757"/>
      <c r="CO11" s="757"/>
      <c r="CP11" s="757"/>
      <c r="CQ11" s="757"/>
      <c r="CR11" s="757"/>
      <c r="CS11" s="757"/>
      <c r="CT11" s="757"/>
      <c r="CU11" s="757"/>
      <c r="CV11" s="757"/>
      <c r="CW11" s="757"/>
      <c r="CX11" s="757"/>
      <c r="CY11" s="757"/>
      <c r="CZ11" s="757"/>
      <c r="DA11" s="757"/>
      <c r="DB11" s="757"/>
      <c r="DC11" s="757"/>
      <c r="DD11" s="757"/>
      <c r="DE11" s="757"/>
      <c r="DF11" s="757"/>
      <c r="DG11" s="757"/>
      <c r="DH11" s="757"/>
      <c r="DI11" s="776"/>
      <c r="DM11" s="753"/>
      <c r="DN11" s="778"/>
      <c r="DO11" s="753"/>
      <c r="DR11" s="819"/>
    </row>
    <row r="12" spans="1:122" ht="12.75" customHeight="1">
      <c r="A12" s="663"/>
      <c r="B12" s="185" t="s">
        <v>653</v>
      </c>
      <c r="C12" s="262">
        <v>0.35199999999999998</v>
      </c>
      <c r="D12" s="833" t="s">
        <v>411</v>
      </c>
      <c r="E12" s="798"/>
      <c r="F12" s="799"/>
      <c r="G12" s="780"/>
      <c r="H12" s="780"/>
      <c r="I12" s="848"/>
      <c r="J12" s="57"/>
      <c r="K12" s="819" t="s">
        <v>33</v>
      </c>
      <c r="L12" s="758"/>
      <c r="M12" s="758"/>
      <c r="N12" s="758"/>
      <c r="O12" s="758"/>
      <c r="P12" s="778"/>
      <c r="Q12" s="758"/>
      <c r="R12" s="758"/>
      <c r="S12" s="758"/>
      <c r="T12" s="1290" t="s">
        <v>654</v>
      </c>
      <c r="U12" s="1085" t="s">
        <v>655</v>
      </c>
      <c r="V12" s="1291">
        <v>1.5</v>
      </c>
      <c r="W12" s="1291">
        <v>1.5</v>
      </c>
      <c r="X12" s="1291">
        <v>1.5</v>
      </c>
      <c r="Y12" s="1291" t="s">
        <v>110</v>
      </c>
      <c r="Z12" s="1291" t="s">
        <v>110</v>
      </c>
      <c r="AA12" s="1291" t="s">
        <v>110</v>
      </c>
      <c r="AB12" s="1291" t="s">
        <v>110</v>
      </c>
      <c r="AC12" s="1291" t="s">
        <v>110</v>
      </c>
      <c r="AD12" s="1287"/>
      <c r="AE12" s="1287"/>
      <c r="AF12" s="1287"/>
      <c r="AG12" s="1287"/>
      <c r="AH12" s="753"/>
      <c r="AI12" s="760"/>
      <c r="AJ12" s="760"/>
      <c r="AK12" s="760"/>
      <c r="AL12" s="760"/>
      <c r="AM12" s="760"/>
      <c r="AN12" s="760"/>
      <c r="AO12" s="753"/>
      <c r="AP12" s="1416" t="s">
        <v>656</v>
      </c>
      <c r="AQ12" s="1417"/>
      <c r="AR12" s="1417"/>
      <c r="AS12" s="1417"/>
      <c r="AT12" s="1418"/>
      <c r="AU12" s="664">
        <v>3</v>
      </c>
      <c r="AV12" s="664">
        <v>2</v>
      </c>
      <c r="AW12" s="664">
        <v>2.5</v>
      </c>
      <c r="AX12" s="665" t="s">
        <v>110</v>
      </c>
      <c r="AY12" s="665" t="s">
        <v>110</v>
      </c>
      <c r="AZ12" s="665" t="s">
        <v>110</v>
      </c>
      <c r="BA12" s="665" t="s">
        <v>110</v>
      </c>
      <c r="BB12" s="665" t="s">
        <v>110</v>
      </c>
      <c r="BC12" s="918"/>
      <c r="BD12" s="918"/>
      <c r="BE12" s="918"/>
      <c r="BF12" s="918"/>
      <c r="BG12" s="918"/>
      <c r="BH12" s="918"/>
      <c r="BI12" s="918"/>
      <c r="BJ12" s="757"/>
      <c r="BK12" s="757"/>
      <c r="BL12" s="757"/>
      <c r="BM12" s="757"/>
      <c r="BN12" s="757"/>
      <c r="BO12" s="757"/>
      <c r="BP12" s="757"/>
      <c r="BQ12" s="757"/>
      <c r="BR12" s="757"/>
      <c r="BS12" s="757"/>
      <c r="BT12" s="757"/>
      <c r="BU12" s="757"/>
      <c r="BV12" s="757"/>
      <c r="BW12" s="757"/>
      <c r="BX12" s="757"/>
      <c r="BY12" s="757"/>
      <c r="BZ12" s="757"/>
      <c r="CA12" s="757"/>
      <c r="CB12" s="757"/>
      <c r="CC12" s="757"/>
      <c r="CD12" s="757"/>
      <c r="CE12" s="757"/>
      <c r="CF12" s="757"/>
      <c r="CG12" s="757"/>
      <c r="CH12" s="757"/>
      <c r="CI12" s="753"/>
      <c r="CJ12" s="753"/>
      <c r="CK12" s="753"/>
      <c r="CL12" s="753"/>
      <c r="CM12" s="753"/>
      <c r="CN12" s="753"/>
      <c r="CO12" s="753"/>
      <c r="CP12" s="753"/>
      <c r="CQ12" s="753"/>
      <c r="CR12" s="753"/>
      <c r="CS12" s="753"/>
      <c r="CT12" s="753"/>
      <c r="CU12" s="753"/>
      <c r="CV12" s="753"/>
      <c r="CW12" s="753"/>
      <c r="CX12" s="753"/>
      <c r="CY12" s="753"/>
      <c r="CZ12" s="753"/>
      <c r="DA12" s="753"/>
      <c r="DB12" s="753"/>
      <c r="DC12" s="753"/>
      <c r="DD12" s="753"/>
      <c r="DE12" s="753"/>
      <c r="DF12" s="753"/>
      <c r="DG12" s="753"/>
      <c r="DH12" s="753"/>
      <c r="DI12" s="776"/>
      <c r="DM12" s="753"/>
      <c r="DN12" s="778"/>
      <c r="DO12" s="753"/>
      <c r="DR12" s="819"/>
    </row>
    <row r="13" spans="1:122" ht="12.75" customHeight="1">
      <c r="A13" s="666"/>
      <c r="B13" s="185" t="s">
        <v>657</v>
      </c>
      <c r="C13" s="262">
        <v>0.106</v>
      </c>
      <c r="D13" s="833" t="s">
        <v>411</v>
      </c>
      <c r="E13" s="798"/>
      <c r="F13" s="799"/>
      <c r="G13" s="753" t="s">
        <v>658</v>
      </c>
      <c r="H13" s="780"/>
      <c r="I13" s="850"/>
      <c r="J13" s="57"/>
      <c r="K13" s="819" t="s">
        <v>32</v>
      </c>
      <c r="L13" s="35" t="s">
        <v>457</v>
      </c>
      <c r="M13" s="1269"/>
      <c r="N13" s="1269"/>
      <c r="O13" s="1269"/>
      <c r="P13" s="1269"/>
      <c r="Q13" s="1270"/>
      <c r="R13" s="773"/>
      <c r="S13" s="758"/>
      <c r="T13" s="1292" t="s">
        <v>659</v>
      </c>
      <c r="U13" s="1106" t="s">
        <v>660</v>
      </c>
      <c r="V13" s="1293">
        <v>3</v>
      </c>
      <c r="W13" s="1293">
        <v>2</v>
      </c>
      <c r="X13" s="1293">
        <v>2.5</v>
      </c>
      <c r="Y13" s="1293" t="s">
        <v>110</v>
      </c>
      <c r="Z13" s="1293" t="s">
        <v>110</v>
      </c>
      <c r="AA13" s="1293" t="s">
        <v>110</v>
      </c>
      <c r="AB13" s="1293" t="s">
        <v>110</v>
      </c>
      <c r="AC13" s="1293" t="s">
        <v>110</v>
      </c>
      <c r="AD13" s="1287"/>
      <c r="AE13" s="1287"/>
      <c r="AF13" s="1287"/>
      <c r="AG13" s="1287"/>
      <c r="AH13" s="753"/>
      <c r="AI13" s="760"/>
      <c r="AJ13" s="760"/>
      <c r="AK13" s="760"/>
      <c r="AL13" s="760"/>
      <c r="AM13" s="760"/>
      <c r="AN13" s="760"/>
      <c r="AO13" s="753"/>
      <c r="AP13" s="1410" t="s">
        <v>661</v>
      </c>
      <c r="AQ13" s="1411"/>
      <c r="AR13" s="1411"/>
      <c r="AS13" s="1411"/>
      <c r="AT13" s="1412"/>
      <c r="AU13" s="667">
        <v>6</v>
      </c>
      <c r="AV13" s="667">
        <v>2</v>
      </c>
      <c r="AW13" s="667">
        <v>5</v>
      </c>
      <c r="AX13" s="668" t="s">
        <v>110</v>
      </c>
      <c r="AY13" s="668" t="s">
        <v>110</v>
      </c>
      <c r="AZ13" s="667">
        <v>160</v>
      </c>
      <c r="BA13" s="667">
        <v>160</v>
      </c>
      <c r="BB13" s="667">
        <v>100</v>
      </c>
      <c r="BC13" s="918"/>
      <c r="BD13" s="918"/>
      <c r="BE13" s="918"/>
      <c r="BF13" s="918"/>
      <c r="BG13" s="918"/>
      <c r="BH13" s="918"/>
      <c r="BI13" s="918"/>
      <c r="BJ13" s="757"/>
      <c r="BK13" s="757"/>
      <c r="BL13" s="757"/>
      <c r="BM13" s="757"/>
      <c r="BN13" s="757"/>
      <c r="BO13" s="757"/>
      <c r="BP13" s="757"/>
      <c r="BQ13" s="757"/>
      <c r="BR13" s="757"/>
      <c r="BS13" s="757"/>
      <c r="BT13" s="757"/>
      <c r="BU13" s="757"/>
      <c r="BV13" s="757"/>
      <c r="BW13" s="757"/>
      <c r="BX13" s="757"/>
      <c r="BY13" s="757"/>
      <c r="BZ13" s="757"/>
      <c r="CA13" s="757"/>
      <c r="CB13" s="757"/>
      <c r="CC13" s="757"/>
      <c r="CD13" s="757"/>
      <c r="CE13" s="757"/>
      <c r="CF13" s="757"/>
      <c r="CG13" s="757"/>
      <c r="CH13" s="757"/>
      <c r="CI13" s="753"/>
      <c r="CJ13" s="753"/>
      <c r="CK13" s="753"/>
      <c r="CL13" s="753"/>
      <c r="CM13" s="753"/>
      <c r="CN13" s="753"/>
      <c r="CO13" s="753"/>
      <c r="CP13" s="753"/>
      <c r="CQ13" s="753"/>
      <c r="CR13" s="753"/>
      <c r="CS13" s="753"/>
      <c r="CT13" s="753"/>
      <c r="CU13" s="753"/>
      <c r="CV13" s="753"/>
      <c r="CW13" s="753"/>
      <c r="CX13" s="753"/>
      <c r="CY13" s="753"/>
      <c r="CZ13" s="753"/>
      <c r="DA13" s="753"/>
      <c r="DB13" s="753"/>
      <c r="DC13" s="753"/>
      <c r="DD13" s="753"/>
      <c r="DE13" s="753"/>
      <c r="DF13" s="753"/>
      <c r="DG13" s="753"/>
      <c r="DH13" s="753"/>
      <c r="DI13" s="776"/>
      <c r="DM13" s="753"/>
      <c r="DN13" s="778"/>
      <c r="DO13" s="753"/>
      <c r="DR13" s="819"/>
    </row>
    <row r="14" spans="1:122" ht="12.75" customHeight="1">
      <c r="A14" s="319"/>
      <c r="B14" s="185" t="s">
        <v>662</v>
      </c>
      <c r="C14" s="262">
        <v>8</v>
      </c>
      <c r="D14" s="1263" t="s">
        <v>412</v>
      </c>
      <c r="E14" s="780"/>
      <c r="F14" s="780"/>
      <c r="G14" s="773"/>
      <c r="H14" s="780"/>
      <c r="I14" s="850"/>
      <c r="J14" s="57"/>
      <c r="K14" s="819" t="s">
        <v>35</v>
      </c>
      <c r="L14" s="1271" t="s">
        <v>146</v>
      </c>
      <c r="M14" s="1272"/>
      <c r="N14" s="1272"/>
      <c r="O14" s="1272"/>
      <c r="P14" s="1272"/>
      <c r="Q14" s="1273"/>
      <c r="R14" s="773"/>
      <c r="S14" s="758"/>
      <c r="T14" s="758"/>
      <c r="U14" s="758"/>
      <c r="V14" s="758"/>
      <c r="W14" s="758"/>
      <c r="X14" s="758"/>
      <c r="Y14" s="758"/>
      <c r="Z14" s="758"/>
      <c r="AA14" s="758"/>
      <c r="AB14" s="758"/>
      <c r="AC14" s="1294"/>
      <c r="AD14" s="1294"/>
      <c r="AE14" s="1294"/>
      <c r="AF14" s="1294"/>
      <c r="AG14" s="1287"/>
      <c r="AH14" s="753"/>
      <c r="AI14" s="760"/>
      <c r="AJ14" s="760"/>
      <c r="AK14" s="761"/>
      <c r="AL14" s="761"/>
      <c r="AM14" s="761"/>
      <c r="AN14" s="761"/>
      <c r="AO14" s="763"/>
      <c r="AP14" s="1407" t="s">
        <v>663</v>
      </c>
      <c r="AQ14" s="1408"/>
      <c r="AR14" s="1408"/>
      <c r="AS14" s="1408"/>
      <c r="AT14" s="1409"/>
      <c r="AU14" s="669">
        <v>3.25</v>
      </c>
      <c r="AV14" s="669">
        <v>2</v>
      </c>
      <c r="AW14" s="669">
        <v>3.25</v>
      </c>
      <c r="AX14" s="670" t="s">
        <v>110</v>
      </c>
      <c r="AY14" s="670" t="s">
        <v>110</v>
      </c>
      <c r="AZ14" s="669">
        <v>35</v>
      </c>
      <c r="BA14" s="669">
        <v>35</v>
      </c>
      <c r="BB14" s="671" t="s">
        <v>112</v>
      </c>
      <c r="BC14" s="753"/>
      <c r="BD14" s="753"/>
      <c r="BE14" s="753"/>
      <c r="BF14" s="753"/>
      <c r="BG14" s="753"/>
      <c r="BH14" s="753"/>
      <c r="BI14" s="753"/>
      <c r="BJ14" s="757"/>
      <c r="BK14" s="757"/>
      <c r="BL14" s="757"/>
      <c r="BM14" s="757"/>
      <c r="BN14" s="757"/>
      <c r="BO14" s="757"/>
      <c r="BP14" s="757"/>
      <c r="BQ14" s="757"/>
      <c r="BR14" s="757"/>
      <c r="BS14" s="757"/>
      <c r="BT14" s="757"/>
      <c r="BU14" s="757"/>
      <c r="BV14" s="757"/>
      <c r="BW14" s="757"/>
      <c r="BX14" s="757"/>
      <c r="BY14" s="757"/>
      <c r="BZ14" s="757"/>
      <c r="CA14" s="757"/>
      <c r="CB14" s="757"/>
      <c r="CC14" s="757"/>
      <c r="CD14" s="757"/>
      <c r="CE14" s="757"/>
      <c r="CF14" s="757"/>
      <c r="CG14" s="757"/>
      <c r="CH14" s="757"/>
      <c r="CI14" s="757"/>
      <c r="CJ14" s="757"/>
      <c r="CK14" s="757"/>
      <c r="CL14" s="757"/>
      <c r="CM14" s="757"/>
      <c r="CN14" s="757"/>
      <c r="CO14" s="757"/>
      <c r="CP14" s="757"/>
      <c r="CQ14" s="757"/>
      <c r="CR14" s="757"/>
      <c r="CS14" s="757"/>
      <c r="CT14" s="757"/>
      <c r="CU14" s="757"/>
      <c r="CV14" s="757"/>
      <c r="CW14" s="757"/>
      <c r="CX14" s="757"/>
      <c r="CY14" s="757"/>
      <c r="CZ14" s="757"/>
      <c r="DA14" s="757"/>
      <c r="DB14" s="757"/>
      <c r="DC14" s="757"/>
      <c r="DD14" s="757"/>
      <c r="DE14" s="757"/>
      <c r="DF14" s="757"/>
      <c r="DG14" s="757"/>
      <c r="DH14" s="753"/>
      <c r="DI14" s="776"/>
      <c r="DM14" s="753"/>
      <c r="DN14" s="778"/>
      <c r="DO14" s="753"/>
      <c r="DR14" s="819"/>
    </row>
    <row r="15" spans="1:122" ht="12.75" customHeight="1">
      <c r="A15" s="672"/>
      <c r="B15" s="234" t="s">
        <v>664</v>
      </c>
      <c r="C15" s="262">
        <v>30</v>
      </c>
      <c r="D15" s="852" t="s">
        <v>54</v>
      </c>
      <c r="E15" s="798"/>
      <c r="F15" s="799"/>
      <c r="G15" s="780"/>
      <c r="H15" s="780"/>
      <c r="I15" s="848" t="s">
        <v>665</v>
      </c>
      <c r="J15" s="57"/>
      <c r="K15" s="819" t="s">
        <v>36</v>
      </c>
      <c r="L15" s="1274" t="s">
        <v>37</v>
      </c>
      <c r="M15" s="1275" t="s">
        <v>64</v>
      </c>
      <c r="N15" s="1275" t="s">
        <v>65</v>
      </c>
      <c r="O15" s="1275" t="s">
        <v>66</v>
      </c>
      <c r="P15" s="1275" t="s">
        <v>67</v>
      </c>
      <c r="Q15" s="1275" t="s">
        <v>68</v>
      </c>
      <c r="R15" s="769" t="s">
        <v>56</v>
      </c>
      <c r="S15" s="758"/>
      <c r="T15" s="1268"/>
      <c r="U15" s="1270"/>
      <c r="V15" s="1275"/>
      <c r="W15" s="1295"/>
      <c r="X15" s="1295"/>
      <c r="Y15" s="1296" t="s">
        <v>629</v>
      </c>
      <c r="Z15" s="1297"/>
      <c r="AA15" s="1297"/>
      <c r="AB15" s="1297"/>
      <c r="AC15" s="1298"/>
      <c r="AD15" s="1299"/>
      <c r="AE15" s="1275"/>
      <c r="AF15" s="769"/>
      <c r="AG15" s="1287"/>
      <c r="AH15" s="753"/>
      <c r="AI15" s="764"/>
      <c r="AJ15" s="764"/>
      <c r="AK15" s="765"/>
      <c r="AL15" s="765"/>
      <c r="AM15" s="765"/>
      <c r="AN15" s="765"/>
      <c r="AO15" s="753"/>
      <c r="AP15" s="1407" t="s">
        <v>666</v>
      </c>
      <c r="AQ15" s="1408"/>
      <c r="AR15" s="1408"/>
      <c r="AS15" s="1408"/>
      <c r="AT15" s="1409"/>
      <c r="AU15" s="669">
        <v>2.5</v>
      </c>
      <c r="AV15" s="669">
        <v>2</v>
      </c>
      <c r="AW15" s="669">
        <v>2.5</v>
      </c>
      <c r="AX15" s="670" t="s">
        <v>110</v>
      </c>
      <c r="AY15" s="670" t="s">
        <v>110</v>
      </c>
      <c r="AZ15" s="669">
        <v>160</v>
      </c>
      <c r="BA15" s="669">
        <v>160</v>
      </c>
      <c r="BB15" s="669">
        <v>100</v>
      </c>
      <c r="BC15" s="753"/>
      <c r="BD15" s="753"/>
      <c r="BE15" s="753"/>
      <c r="BF15" s="753"/>
      <c r="BG15" s="753"/>
      <c r="BH15" s="753"/>
      <c r="BI15" s="753"/>
      <c r="BJ15" s="753"/>
      <c r="BK15" s="753"/>
      <c r="BL15" s="753"/>
      <c r="BM15" s="753"/>
      <c r="BN15" s="753"/>
      <c r="BO15" s="753"/>
      <c r="BP15" s="753"/>
      <c r="BQ15" s="753"/>
      <c r="BR15" s="753"/>
      <c r="BS15" s="753"/>
      <c r="BT15" s="753"/>
      <c r="BU15" s="753"/>
      <c r="BV15" s="753"/>
      <c r="BW15" s="753"/>
      <c r="BX15" s="753"/>
      <c r="BY15" s="753"/>
      <c r="BZ15" s="753"/>
      <c r="CA15" s="753"/>
      <c r="CB15" s="753"/>
      <c r="CC15" s="753"/>
      <c r="CD15" s="753"/>
      <c r="CE15" s="753"/>
      <c r="CF15" s="753"/>
      <c r="CG15" s="753"/>
      <c r="CH15" s="753"/>
      <c r="CI15" s="753"/>
      <c r="CJ15" s="753"/>
      <c r="CK15" s="753"/>
      <c r="CL15" s="753"/>
      <c r="CM15" s="753"/>
      <c r="CN15" s="753"/>
      <c r="CO15" s="753"/>
      <c r="CP15" s="753"/>
      <c r="CQ15" s="753"/>
      <c r="CR15" s="753"/>
      <c r="CS15" s="753"/>
      <c r="CT15" s="753"/>
      <c r="CU15" s="753"/>
      <c r="CV15" s="753"/>
      <c r="CW15" s="753"/>
      <c r="CX15" s="753"/>
      <c r="CY15" s="753"/>
      <c r="CZ15" s="753"/>
      <c r="DA15" s="753"/>
      <c r="DB15" s="753"/>
      <c r="DC15" s="753"/>
      <c r="DD15" s="753"/>
      <c r="DE15" s="753"/>
      <c r="DF15" s="753"/>
      <c r="DG15" s="753"/>
      <c r="DH15" s="753"/>
      <c r="DI15" s="776"/>
      <c r="DM15" s="753"/>
      <c r="DN15" s="778"/>
      <c r="DO15" s="753"/>
      <c r="DR15" s="819"/>
    </row>
    <row r="16" spans="1:122" ht="12.75" customHeight="1">
      <c r="A16" s="140"/>
      <c r="B16" s="234" t="s">
        <v>667</v>
      </c>
      <c r="C16" s="262">
        <v>30</v>
      </c>
      <c r="D16" s="852" t="s">
        <v>54</v>
      </c>
      <c r="E16" s="798"/>
      <c r="F16" s="799"/>
      <c r="G16" s="780"/>
      <c r="H16" s="780"/>
      <c r="I16" s="850"/>
      <c r="J16" s="57"/>
      <c r="K16" s="1264" t="s">
        <v>634</v>
      </c>
      <c r="L16" s="888" t="s">
        <v>29</v>
      </c>
      <c r="M16" s="888">
        <v>0.8</v>
      </c>
      <c r="N16" s="888">
        <v>0.8</v>
      </c>
      <c r="O16" s="888">
        <v>0.8</v>
      </c>
      <c r="P16" s="888">
        <v>0.8</v>
      </c>
      <c r="Q16" s="888">
        <v>0.8</v>
      </c>
      <c r="R16" s="150">
        <v>0.8</v>
      </c>
      <c r="S16" s="758"/>
      <c r="T16" s="1271" t="s">
        <v>631</v>
      </c>
      <c r="U16" s="1273"/>
      <c r="V16" s="1280" t="s">
        <v>109</v>
      </c>
      <c r="W16" s="1281" t="s">
        <v>13</v>
      </c>
      <c r="X16" s="1280" t="s">
        <v>155</v>
      </c>
      <c r="Y16" s="1282" t="s">
        <v>111</v>
      </c>
      <c r="Z16" s="1280" t="s">
        <v>33</v>
      </c>
      <c r="AA16" s="1280" t="s">
        <v>32</v>
      </c>
      <c r="AB16" s="1280" t="s">
        <v>35</v>
      </c>
      <c r="AC16" s="1280" t="s">
        <v>36</v>
      </c>
      <c r="AD16" s="1281" t="s">
        <v>62</v>
      </c>
      <c r="AE16" s="1281" t="s">
        <v>668</v>
      </c>
      <c r="AF16" s="778" t="s">
        <v>150</v>
      </c>
      <c r="AG16" s="1287"/>
      <c r="AH16" s="753"/>
      <c r="AI16" s="764"/>
      <c r="AJ16" s="764"/>
      <c r="AK16" s="765"/>
      <c r="AL16" s="765"/>
      <c r="AM16" s="765"/>
      <c r="AN16" s="765"/>
      <c r="AO16" s="753"/>
      <c r="AP16" s="1407" t="s">
        <v>669</v>
      </c>
      <c r="AQ16" s="1408"/>
      <c r="AR16" s="1408"/>
      <c r="AS16" s="1408"/>
      <c r="AT16" s="1409"/>
      <c r="AU16" s="673">
        <v>1.5</v>
      </c>
      <c r="AV16" s="673">
        <v>1</v>
      </c>
      <c r="AW16" s="673">
        <v>1.5</v>
      </c>
      <c r="AX16" s="674" t="s">
        <v>110</v>
      </c>
      <c r="AY16" s="674" t="s">
        <v>110</v>
      </c>
      <c r="AZ16" s="674" t="s">
        <v>110</v>
      </c>
      <c r="BA16" s="674" t="s">
        <v>110</v>
      </c>
      <c r="BB16" s="674" t="s">
        <v>110</v>
      </c>
      <c r="BC16" s="753"/>
      <c r="BD16" s="753"/>
      <c r="BE16" s="753"/>
      <c r="BF16" s="753"/>
      <c r="BG16" s="753"/>
      <c r="BH16" s="753"/>
      <c r="BI16" s="753"/>
      <c r="BJ16" s="753"/>
      <c r="BK16" s="753"/>
      <c r="BL16" s="753"/>
      <c r="BM16" s="753"/>
      <c r="BN16" s="753"/>
      <c r="BO16" s="753"/>
      <c r="BP16" s="753"/>
      <c r="BQ16" s="753"/>
      <c r="BR16" s="753"/>
      <c r="BS16" s="753"/>
      <c r="BT16" s="753"/>
      <c r="BU16" s="753"/>
      <c r="BV16" s="753"/>
      <c r="BW16" s="753"/>
      <c r="BX16" s="753"/>
      <c r="BY16" s="753"/>
      <c r="BZ16" s="753"/>
      <c r="CA16" s="753"/>
      <c r="CB16" s="753"/>
      <c r="CC16" s="753"/>
      <c r="CD16" s="753"/>
      <c r="CE16" s="753"/>
      <c r="CF16" s="753"/>
      <c r="CG16" s="753"/>
      <c r="CH16" s="753"/>
      <c r="CI16" s="753"/>
      <c r="CJ16" s="753"/>
      <c r="CK16" s="753"/>
      <c r="CL16" s="753"/>
      <c r="CM16" s="753"/>
      <c r="CN16" s="753"/>
      <c r="CO16" s="753"/>
      <c r="CP16" s="753"/>
      <c r="CQ16" s="753"/>
      <c r="CR16" s="753"/>
      <c r="CS16" s="753"/>
      <c r="CT16" s="753"/>
      <c r="CU16" s="753"/>
      <c r="CV16" s="753"/>
      <c r="CW16" s="753"/>
      <c r="CX16" s="753"/>
      <c r="CY16" s="753"/>
      <c r="CZ16" s="753"/>
      <c r="DA16" s="753"/>
      <c r="DB16" s="753"/>
      <c r="DC16" s="753"/>
      <c r="DD16" s="753"/>
      <c r="DE16" s="753"/>
      <c r="DF16" s="753"/>
      <c r="DG16" s="753"/>
      <c r="DH16" s="753"/>
      <c r="DI16" s="776"/>
      <c r="DM16" s="753"/>
      <c r="DN16" s="778"/>
      <c r="DO16" s="753"/>
      <c r="DR16" s="819"/>
    </row>
    <row r="17" spans="1:122" ht="12.75" customHeight="1">
      <c r="A17" s="319"/>
      <c r="B17" s="234" t="s">
        <v>670</v>
      </c>
      <c r="C17" s="327">
        <v>0.375</v>
      </c>
      <c r="D17" s="852" t="s">
        <v>671</v>
      </c>
      <c r="E17" s="826"/>
      <c r="F17" s="826"/>
      <c r="G17" s="753"/>
      <c r="H17" s="753" t="s">
        <v>672</v>
      </c>
      <c r="I17" s="850"/>
      <c r="J17" s="57"/>
      <c r="K17" s="1264" t="s">
        <v>638</v>
      </c>
      <c r="L17" s="897" t="s">
        <v>31</v>
      </c>
      <c r="M17" s="897">
        <v>1</v>
      </c>
      <c r="N17" s="897">
        <v>1</v>
      </c>
      <c r="O17" s="897">
        <v>1</v>
      </c>
      <c r="P17" s="897">
        <v>1</v>
      </c>
      <c r="Q17" s="897">
        <v>1</v>
      </c>
      <c r="R17" s="150">
        <v>1</v>
      </c>
      <c r="S17" s="758"/>
      <c r="T17" s="295" t="str">
        <f>$C$27</f>
        <v>7a</v>
      </c>
      <c r="U17" s="675" t="str">
        <f>VLOOKUP($C$27,$T$7:$AC$13,2, FALSE)</f>
        <v>Flat bottom, ground supported tanks - steel or fiber-reinforced - mechanically anchored</v>
      </c>
      <c r="V17" s="1342">
        <f>VLOOKUP($C$27,$T$7:$AC$13,3, FALSE)</f>
        <v>3</v>
      </c>
      <c r="W17" s="1342">
        <f>VLOOKUP($C$27,$T$7:$AC$13,4, FALSE)</f>
        <v>2</v>
      </c>
      <c r="X17" s="1342">
        <f>VLOOKUP($C$27,$T$7:$AC$13,5, FALSE)</f>
        <v>2.5</v>
      </c>
      <c r="Y17" s="1342" t="str">
        <f>VLOOKUP($C$27,$T$7:$AC$13,6, FALSE)</f>
        <v>NL</v>
      </c>
      <c r="Z17" s="1342" t="str">
        <f>VLOOKUP($C$27,$T$7:$AC$13,7, FALSE)</f>
        <v>NL</v>
      </c>
      <c r="AA17" s="1342" t="str">
        <f>VLOOKUP($C$27,$T$7:$AC$13,8, FALSE)</f>
        <v>NL</v>
      </c>
      <c r="AB17" s="1342" t="str">
        <f>VLOOKUP($C$27,$T$7:$AC$13,9, FALSE)</f>
        <v>NL</v>
      </c>
      <c r="AC17" s="1342" t="str">
        <f>VLOOKUP($C$27,$T$7:$AC$13,10, FALSE)</f>
        <v>NL</v>
      </c>
      <c r="AD17" s="290" t="str">
        <f>$C$46</f>
        <v>C</v>
      </c>
      <c r="AE17" s="291">
        <f>$C$15</f>
        <v>30</v>
      </c>
      <c r="AF17" s="19"/>
      <c r="AG17" s="1287"/>
      <c r="AH17" s="753"/>
      <c r="AI17" s="754"/>
      <c r="AJ17" s="755"/>
      <c r="AK17" s="755"/>
      <c r="AL17" s="756"/>
      <c r="AM17" s="766"/>
      <c r="AN17" s="766"/>
      <c r="AO17" s="753"/>
      <c r="AP17" s="1407" t="s">
        <v>673</v>
      </c>
      <c r="AQ17" s="1408"/>
      <c r="AR17" s="1408"/>
      <c r="AS17" s="1408"/>
      <c r="AT17" s="1409"/>
      <c r="AU17" s="676">
        <v>8</v>
      </c>
      <c r="AV17" s="676">
        <v>3</v>
      </c>
      <c r="AW17" s="676">
        <v>5.5</v>
      </c>
      <c r="AX17" s="677" t="s">
        <v>110</v>
      </c>
      <c r="AY17" s="677" t="s">
        <v>110</v>
      </c>
      <c r="AZ17" s="677" t="s">
        <v>110</v>
      </c>
      <c r="BA17" s="677" t="s">
        <v>110</v>
      </c>
      <c r="BB17" s="677" t="s">
        <v>110</v>
      </c>
      <c r="BC17" s="753"/>
      <c r="BD17" s="753"/>
      <c r="BE17" s="753"/>
      <c r="BF17" s="753"/>
      <c r="BG17" s="753"/>
      <c r="BH17" s="753"/>
      <c r="BI17" s="753"/>
      <c r="BJ17" s="753"/>
      <c r="BK17" s="753"/>
      <c r="BL17" s="753"/>
      <c r="BM17" s="753"/>
      <c r="BN17" s="753"/>
      <c r="BO17" s="753"/>
      <c r="BP17" s="753"/>
      <c r="BQ17" s="753"/>
      <c r="BR17" s="753"/>
      <c r="BS17" s="753"/>
      <c r="BT17" s="753"/>
      <c r="BU17" s="753"/>
      <c r="BV17" s="753"/>
      <c r="BW17" s="753"/>
      <c r="BX17" s="753"/>
      <c r="BY17" s="753"/>
      <c r="BZ17" s="753"/>
      <c r="CA17" s="753"/>
      <c r="CB17" s="753"/>
      <c r="CC17" s="753"/>
      <c r="CD17" s="753"/>
      <c r="CE17" s="753"/>
      <c r="CF17" s="753"/>
      <c r="CG17" s="753"/>
      <c r="CH17" s="753"/>
      <c r="CI17" s="753"/>
      <c r="CJ17" s="753"/>
      <c r="CK17" s="753"/>
      <c r="CL17" s="753"/>
      <c r="CM17" s="753"/>
      <c r="CN17" s="753"/>
      <c r="CO17" s="753"/>
      <c r="CP17" s="753"/>
      <c r="CQ17" s="753"/>
      <c r="CR17" s="753"/>
      <c r="CS17" s="753"/>
      <c r="CT17" s="753"/>
      <c r="CU17" s="753"/>
      <c r="CV17" s="753"/>
      <c r="CW17" s="753"/>
      <c r="CX17" s="753"/>
      <c r="CY17" s="753"/>
      <c r="CZ17" s="753"/>
      <c r="DA17" s="753"/>
      <c r="DB17" s="753"/>
      <c r="DC17" s="753"/>
      <c r="DD17" s="753"/>
      <c r="DE17" s="753"/>
      <c r="DF17" s="753"/>
      <c r="DG17" s="753"/>
      <c r="DH17" s="753"/>
      <c r="DI17" s="776"/>
      <c r="DM17" s="753"/>
      <c r="DN17" s="778"/>
      <c r="DO17" s="753"/>
      <c r="DR17" s="819"/>
    </row>
    <row r="18" spans="1:122" ht="12.75" customHeight="1">
      <c r="A18" s="319"/>
      <c r="B18" s="678" t="s">
        <v>674</v>
      </c>
      <c r="C18" s="679">
        <v>490</v>
      </c>
      <c r="D18" s="862" t="s">
        <v>675</v>
      </c>
      <c r="E18" s="826"/>
      <c r="F18" s="826"/>
      <c r="G18" s="773"/>
      <c r="H18" s="773"/>
      <c r="I18" s="863"/>
      <c r="J18" s="57"/>
      <c r="K18" s="778" t="s">
        <v>642</v>
      </c>
      <c r="L18" s="897" t="s">
        <v>33</v>
      </c>
      <c r="M18" s="897">
        <v>1.7</v>
      </c>
      <c r="N18" s="897">
        <v>1.6</v>
      </c>
      <c r="O18" s="897">
        <v>1.5</v>
      </c>
      <c r="P18" s="897">
        <v>1.4</v>
      </c>
      <c r="Q18" s="897">
        <v>1.3</v>
      </c>
      <c r="R18" s="242">
        <f>IF($C$13&lt;=0.1,1.7,IF(AND($C$13&gt;0.1,$C$13&lt;=0.2),(1.6-1.7)*($C$13-0.1)/(0.2-0.1)+1.7,IF(AND($C$13&gt;0.2,$C$13&lt;=0.3),(1.5-1.6)*($C$13-0.2)/(0.3-0.2)+1.6,IF(AND($C$13&gt;0.3,$C$13&lt;=0.4),(1.4-1.5)*($C$13-0.3)/(0.4-0.3)+1.5,IF(AND($C$13&gt;0.4,$C$13&lt;=0.5),(1.3-1.4)*($C$13-0.4)/(0.5-0.4)+1.4,1.3)))))</f>
        <v>1.694</v>
      </c>
      <c r="S18" s="758"/>
      <c r="T18" s="1343"/>
      <c r="U18" s="680"/>
      <c r="V18" s="1344"/>
      <c r="W18" s="1344"/>
      <c r="X18" s="1344"/>
      <c r="Y18" s="1344" t="str">
        <f>IF(OR($AD$17="A",$AD$17="B"),IF($Y$17="NP","N.P.",IF($Y$17="NL","O.K.",IF(AND($Y$17&gt;0,$Y$17&gt;=$AE$17),"O.K."))),"N.A.")</f>
        <v>N.A.</v>
      </c>
      <c r="Z18" s="1344" t="str">
        <f>IF($AD$17="C",IF($Z$17="NP","N.P.",IF($Z$17="NL","O.K.",IF(AND($Z$17&gt;0,$Z$17&gt;=$AE$17),"O.K.", "N.P."))),"N.A.")</f>
        <v>O.K.</v>
      </c>
      <c r="AA18" s="1344" t="str">
        <f>IF($AD$17="D",IF($AA$17="NP","N.P.",IF($AA$17="NL","O.K.",IF(AND($AA$17&gt;0,$AA$17&gt;=$AE$17),"O.K.", "N.P."))),"N.A.")</f>
        <v>N.A.</v>
      </c>
      <c r="AB18" s="1344" t="str">
        <f>IF(OR($AD$17="E",$AD$17="F"),IF($AB$17="NP","N.P.",IF($AB$17="NL","O.K.",IF(AND($AB$17&gt;0,$AB$17&gt;=$AE$17),"O.K.", "N.P."))),"N.A.")</f>
        <v>N.A.</v>
      </c>
      <c r="AC18" s="1344" t="str">
        <f>IF(OR($AD$17="E",$AD$17="F"),IF($AB$17="NP","N.P.",IF($AB$17="NL","O.K.",IF(AND($AB$17&gt;0,$AB$17&gt;=$AE$17),"O.K.", "N.P."))),"N.A.")</f>
        <v>N.A.</v>
      </c>
      <c r="AD18" s="283"/>
      <c r="AE18" s="283"/>
      <c r="AF18" s="126" t="str">
        <f>IF(OR($AD$17="A",$AD$17="B"),$Y$18,IF($AD$17="C",$Z$18,IF($AD$17="D",$AA$18,IF(OR($AD$17="E",$AD$17="F"),$AB$18))))</f>
        <v>O.K.</v>
      </c>
      <c r="AG18" s="1287"/>
      <c r="AH18" s="753"/>
      <c r="AI18" s="1421"/>
      <c r="AJ18" s="1422"/>
      <c r="AK18" s="1422"/>
      <c r="AL18" s="1422"/>
      <c r="AM18" s="1422"/>
      <c r="AN18" s="1422"/>
      <c r="AO18" s="900"/>
      <c r="AP18" s="1407" t="s">
        <v>676</v>
      </c>
      <c r="AQ18" s="1408"/>
      <c r="AR18" s="1408"/>
      <c r="AS18" s="1408"/>
      <c r="AT18" s="1409"/>
      <c r="AU18" s="669">
        <v>8</v>
      </c>
      <c r="AV18" s="669">
        <v>3</v>
      </c>
      <c r="AW18" s="669">
        <v>5.5</v>
      </c>
      <c r="AX18" s="670" t="s">
        <v>110</v>
      </c>
      <c r="AY18" s="670" t="s">
        <v>110</v>
      </c>
      <c r="AZ18" s="670" t="s">
        <v>110</v>
      </c>
      <c r="BA18" s="670" t="s">
        <v>110</v>
      </c>
      <c r="BB18" s="681" t="s">
        <v>110</v>
      </c>
      <c r="BC18" s="753"/>
      <c r="BD18" s="753"/>
      <c r="BE18" s="753"/>
      <c r="BF18" s="753"/>
      <c r="BG18" s="753"/>
      <c r="BH18" s="753"/>
      <c r="BI18" s="753"/>
      <c r="BJ18" s="753"/>
      <c r="BK18" s="753"/>
      <c r="BL18" s="753"/>
      <c r="BM18" s="753"/>
      <c r="BN18" s="753"/>
      <c r="BO18" s="753"/>
      <c r="BP18" s="753"/>
      <c r="BQ18" s="753"/>
      <c r="BR18" s="753"/>
      <c r="BS18" s="753"/>
      <c r="BT18" s="753"/>
      <c r="BU18" s="753"/>
      <c r="BV18" s="753"/>
      <c r="BW18" s="753"/>
      <c r="BX18" s="753"/>
      <c r="BY18" s="753"/>
      <c r="BZ18" s="753"/>
      <c r="CA18" s="753"/>
      <c r="CB18" s="753"/>
      <c r="CC18" s="753"/>
      <c r="CD18" s="753"/>
      <c r="CE18" s="753"/>
      <c r="CF18" s="753"/>
      <c r="CG18" s="753"/>
      <c r="CH18" s="753"/>
      <c r="CI18" s="753"/>
      <c r="CJ18" s="753"/>
      <c r="CK18" s="753"/>
      <c r="CL18" s="753"/>
      <c r="CM18" s="753"/>
      <c r="CN18" s="753"/>
      <c r="CO18" s="753"/>
      <c r="CP18" s="753"/>
      <c r="CQ18" s="753"/>
      <c r="CR18" s="753"/>
      <c r="CS18" s="753"/>
      <c r="CT18" s="753"/>
      <c r="CU18" s="753"/>
      <c r="CV18" s="753"/>
      <c r="CW18" s="753"/>
      <c r="CX18" s="753"/>
      <c r="CY18" s="753"/>
      <c r="CZ18" s="753"/>
      <c r="DA18" s="753"/>
      <c r="DB18" s="753"/>
      <c r="DC18" s="753"/>
      <c r="DD18" s="753"/>
      <c r="DE18" s="753"/>
      <c r="DF18" s="753"/>
      <c r="DG18" s="753"/>
      <c r="DH18" s="753"/>
      <c r="DI18" s="767"/>
      <c r="DJ18" s="753"/>
      <c r="DK18" s="753"/>
      <c r="DL18" s="753"/>
      <c r="DM18" s="753"/>
      <c r="DN18" s="778"/>
      <c r="DO18" s="753"/>
      <c r="DR18" s="819"/>
    </row>
    <row r="19" spans="1:122" ht="12.75" customHeight="1">
      <c r="A19" s="319"/>
      <c r="B19" s="234" t="s">
        <v>677</v>
      </c>
      <c r="C19" s="2">
        <v>29000</v>
      </c>
      <c r="D19" s="844" t="s">
        <v>678</v>
      </c>
      <c r="E19" s="780"/>
      <c r="F19" s="780"/>
      <c r="G19" s="780"/>
      <c r="H19" s="780"/>
      <c r="I19" s="829"/>
      <c r="J19" s="91"/>
      <c r="K19" s="778" t="s">
        <v>645</v>
      </c>
      <c r="L19" s="897" t="s">
        <v>32</v>
      </c>
      <c r="M19" s="897">
        <v>2.4</v>
      </c>
      <c r="N19" s="897">
        <v>2</v>
      </c>
      <c r="O19" s="897">
        <v>1.8</v>
      </c>
      <c r="P19" s="897">
        <v>1.6</v>
      </c>
      <c r="Q19" s="897">
        <v>1.5</v>
      </c>
      <c r="R19" s="242">
        <f>IF($C$13&lt;=0.1,2.4,IF(AND($C$13&gt;0.1,$C$13&lt;=0.2),(2-2.4)*($C$13-0.1)/(0.2-0.1)+2.4,IF(AND($C$13&gt;0.2,$C$13&lt;=0.3),(1.8-2)*($C$13-0.2)/(0.3-0.2)+2,IF(AND($C$13&gt;0.3,$C$13&lt;=0.4),(1.6-1.8)*($C$13-0.3)/(0.4-0.3)+1.8,IF(AND($C$13&gt;0.4,$C$13&lt;=0.5),(1.5-1.6)*($C$13-0.4)/(0.5-0.4)+1.6,1.5)))))</f>
        <v>2.3759999999999999</v>
      </c>
      <c r="S19" s="758"/>
      <c r="T19" s="758"/>
      <c r="U19" s="758"/>
      <c r="V19" s="758"/>
      <c r="W19" s="758"/>
      <c r="X19" s="758"/>
      <c r="Y19" s="758"/>
      <c r="Z19" s="758"/>
      <c r="AA19" s="758"/>
      <c r="AB19" s="758"/>
      <c r="AC19" s="758"/>
      <c r="AD19" s="758"/>
      <c r="AE19" s="758"/>
      <c r="AF19" s="758"/>
      <c r="AG19" s="1287"/>
      <c r="AH19" s="757"/>
      <c r="AI19" s="901"/>
      <c r="AJ19" s="901"/>
      <c r="AK19" s="902"/>
      <c r="AL19" s="901"/>
      <c r="AM19" s="901"/>
      <c r="AN19" s="901"/>
      <c r="AO19" s="903"/>
      <c r="AP19" s="1407" t="s">
        <v>679</v>
      </c>
      <c r="AQ19" s="1408"/>
      <c r="AR19" s="1408"/>
      <c r="AS19" s="1408"/>
      <c r="AT19" s="1409"/>
      <c r="AU19" s="669">
        <v>4.5</v>
      </c>
      <c r="AV19" s="669">
        <v>3</v>
      </c>
      <c r="AW19" s="669">
        <v>4</v>
      </c>
      <c r="AX19" s="670" t="s">
        <v>110</v>
      </c>
      <c r="AY19" s="670" t="s">
        <v>110</v>
      </c>
      <c r="AZ19" s="669">
        <v>35</v>
      </c>
      <c r="BA19" s="671" t="s">
        <v>112</v>
      </c>
      <c r="BB19" s="683" t="s">
        <v>112</v>
      </c>
      <c r="BC19" s="757"/>
      <c r="BD19" s="757"/>
      <c r="BE19" s="757"/>
      <c r="BF19" s="757"/>
      <c r="BG19" s="757"/>
      <c r="BH19" s="757"/>
      <c r="BI19" s="757"/>
      <c r="BJ19" s="753"/>
      <c r="BK19" s="757"/>
      <c r="BL19" s="757"/>
      <c r="BM19" s="757"/>
      <c r="BN19" s="757"/>
      <c r="BO19" s="757"/>
      <c r="BP19" s="757"/>
      <c r="BQ19" s="757"/>
      <c r="BR19" s="757"/>
      <c r="BS19" s="757"/>
      <c r="BT19" s="757"/>
      <c r="BU19" s="757"/>
      <c r="BV19" s="757"/>
      <c r="BW19" s="757"/>
      <c r="BX19" s="757"/>
      <c r="BY19" s="757"/>
      <c r="BZ19" s="757"/>
      <c r="CA19" s="757"/>
      <c r="CB19" s="757"/>
      <c r="CC19" s="757"/>
      <c r="CD19" s="757"/>
      <c r="CE19" s="757"/>
      <c r="CF19" s="757"/>
      <c r="CG19" s="757"/>
      <c r="CH19" s="757"/>
      <c r="CI19" s="757"/>
      <c r="CJ19" s="757"/>
      <c r="CK19" s="757"/>
      <c r="CL19" s="757"/>
      <c r="CM19" s="757"/>
      <c r="CN19" s="757"/>
      <c r="CO19" s="757"/>
      <c r="CP19" s="757"/>
      <c r="CQ19" s="757"/>
      <c r="CR19" s="757"/>
      <c r="CS19" s="757"/>
      <c r="CT19" s="757"/>
      <c r="CU19" s="757"/>
      <c r="CV19" s="757"/>
      <c r="CW19" s="757"/>
      <c r="CX19" s="757"/>
      <c r="CY19" s="757"/>
      <c r="CZ19" s="757"/>
      <c r="DA19" s="757"/>
      <c r="DB19" s="757"/>
      <c r="DC19" s="757"/>
      <c r="DD19" s="757"/>
      <c r="DE19" s="757"/>
      <c r="DF19" s="757"/>
      <c r="DG19" s="757"/>
      <c r="DH19" s="757"/>
      <c r="DI19" s="767"/>
      <c r="DJ19" s="753"/>
      <c r="DK19" s="753"/>
      <c r="DL19" s="753"/>
      <c r="DM19" s="753"/>
      <c r="DN19" s="778"/>
      <c r="DO19" s="753"/>
      <c r="DR19" s="819"/>
    </row>
    <row r="20" spans="1:122" ht="12.75" customHeight="1">
      <c r="A20" s="319"/>
      <c r="B20" s="234" t="s">
        <v>680</v>
      </c>
      <c r="C20" s="264">
        <v>15</v>
      </c>
      <c r="D20" s="851" t="s">
        <v>681</v>
      </c>
      <c r="E20" s="780"/>
      <c r="F20" s="780"/>
      <c r="G20" s="759" t="s">
        <v>682</v>
      </c>
      <c r="H20" s="759"/>
      <c r="I20" s="864"/>
      <c r="J20" s="91"/>
      <c r="K20" s="778" t="s">
        <v>650</v>
      </c>
      <c r="L20" s="897" t="s">
        <v>35</v>
      </c>
      <c r="M20" s="897">
        <v>3.5</v>
      </c>
      <c r="N20" s="897">
        <v>3.2</v>
      </c>
      <c r="O20" s="897">
        <v>2.8</v>
      </c>
      <c r="P20" s="897">
        <v>2.4</v>
      </c>
      <c r="Q20" s="897">
        <v>2.4</v>
      </c>
      <c r="R20" s="242">
        <f>IF($C$13&lt;=0.1,3.5,IF(AND($C$13&gt;0.1,$C$13&lt;=0.2),(3.2-3.5)*($C$13-0.1)/(0.2-0.1)+3.5,IF(AND($C$13&gt;0.2,$C$13&lt;=0.3),(2.8-3.2)*($C$13-0.2)/(0.3-0.2)+3.2,IF(AND($C$13&gt;0.3,$C$13&lt;=0.4),(2.4-2.8)*($C$13-0.3)/(0.4-0.3)+2.8,IF(AND($C$13&gt;0.4,$C$13&lt;=0.5),2.4,2.4)))))</f>
        <v>3.4820000000000002</v>
      </c>
      <c r="S20" s="758"/>
      <c r="T20" s="758"/>
      <c r="U20" s="758"/>
      <c r="V20" s="758"/>
      <c r="W20" s="758"/>
      <c r="X20" s="758"/>
      <c r="Y20" s="758"/>
      <c r="Z20" s="758"/>
      <c r="AA20" s="758"/>
      <c r="AB20" s="758"/>
      <c r="AC20" s="758"/>
      <c r="AD20" s="758"/>
      <c r="AE20" s="758"/>
      <c r="AF20" s="758"/>
      <c r="AG20" s="1287"/>
      <c r="AH20" s="757"/>
      <c r="AI20" s="904" t="s">
        <v>683</v>
      </c>
      <c r="AJ20" s="905"/>
      <c r="AK20" s="906"/>
      <c r="AL20" s="862"/>
      <c r="AM20" s="901"/>
      <c r="AN20" s="901"/>
      <c r="AO20" s="903"/>
      <c r="AP20" s="1407" t="s">
        <v>684</v>
      </c>
      <c r="AQ20" s="1408"/>
      <c r="AR20" s="1408"/>
      <c r="AS20" s="1408"/>
      <c r="AT20" s="1409"/>
      <c r="AU20" s="669">
        <v>2.5</v>
      </c>
      <c r="AV20" s="669">
        <v>2</v>
      </c>
      <c r="AW20" s="669">
        <v>2.5</v>
      </c>
      <c r="AX20" s="670" t="s">
        <v>110</v>
      </c>
      <c r="AY20" s="670" t="s">
        <v>110</v>
      </c>
      <c r="AZ20" s="669">
        <v>160</v>
      </c>
      <c r="BA20" s="669">
        <v>160</v>
      </c>
      <c r="BB20" s="684">
        <v>100</v>
      </c>
      <c r="BC20" s="757"/>
      <c r="BD20" s="757"/>
      <c r="BE20" s="757"/>
      <c r="BF20" s="757"/>
      <c r="BG20" s="757"/>
      <c r="BH20" s="757"/>
      <c r="BI20" s="757"/>
      <c r="BJ20" s="753"/>
      <c r="BK20" s="757"/>
      <c r="BL20" s="757"/>
      <c r="BM20" s="757"/>
      <c r="BN20" s="757"/>
      <c r="BO20" s="757"/>
      <c r="BP20" s="757"/>
      <c r="BQ20" s="757"/>
      <c r="BR20" s="757"/>
      <c r="BS20" s="757"/>
      <c r="BT20" s="757"/>
      <c r="BU20" s="757"/>
      <c r="BV20" s="757"/>
      <c r="BW20" s="757"/>
      <c r="BX20" s="757"/>
      <c r="BY20" s="757"/>
      <c r="BZ20" s="757"/>
      <c r="CA20" s="757"/>
      <c r="CB20" s="757"/>
      <c r="CC20" s="757"/>
      <c r="CD20" s="757"/>
      <c r="CE20" s="757"/>
      <c r="CF20" s="757"/>
      <c r="CG20" s="757"/>
      <c r="CH20" s="757"/>
      <c r="CI20" s="757"/>
      <c r="CJ20" s="757"/>
      <c r="CK20" s="757"/>
      <c r="CL20" s="757"/>
      <c r="CM20" s="757"/>
      <c r="CN20" s="757"/>
      <c r="CO20" s="757"/>
      <c r="CP20" s="757"/>
      <c r="CQ20" s="757"/>
      <c r="CR20" s="757"/>
      <c r="CS20" s="757"/>
      <c r="CT20" s="757"/>
      <c r="CU20" s="757"/>
      <c r="CV20" s="757"/>
      <c r="CW20" s="757"/>
      <c r="CX20" s="757"/>
      <c r="CY20" s="757"/>
      <c r="CZ20" s="757"/>
      <c r="DA20" s="757"/>
      <c r="DB20" s="757"/>
      <c r="DC20" s="757"/>
      <c r="DD20" s="757"/>
      <c r="DE20" s="757"/>
      <c r="DF20" s="757"/>
      <c r="DG20" s="757"/>
      <c r="DH20" s="757"/>
      <c r="DI20" s="767"/>
      <c r="DJ20" s="753"/>
      <c r="DK20" s="753"/>
      <c r="DL20" s="753"/>
      <c r="DM20" s="753"/>
      <c r="DN20" s="808"/>
      <c r="DO20" s="775"/>
    </row>
    <row r="21" spans="1:122" ht="12.75" customHeight="1">
      <c r="A21" s="319"/>
      <c r="B21" s="234" t="s">
        <v>685</v>
      </c>
      <c r="C21" s="264">
        <v>43.25</v>
      </c>
      <c r="D21" s="851" t="s">
        <v>681</v>
      </c>
      <c r="E21" s="780"/>
      <c r="F21" s="780"/>
      <c r="G21" s="753"/>
      <c r="H21" s="780"/>
      <c r="I21" s="829"/>
      <c r="J21" s="57"/>
      <c r="K21" s="1264" t="s">
        <v>654</v>
      </c>
      <c r="L21" s="890" t="s">
        <v>36</v>
      </c>
      <c r="M21" s="890" t="s">
        <v>38</v>
      </c>
      <c r="N21" s="890" t="s">
        <v>38</v>
      </c>
      <c r="O21" s="890" t="s">
        <v>38</v>
      </c>
      <c r="P21" s="890" t="s">
        <v>38</v>
      </c>
      <c r="Q21" s="890" t="s">
        <v>38</v>
      </c>
      <c r="R21" s="778" t="s">
        <v>38</v>
      </c>
      <c r="S21" s="758"/>
      <c r="T21" s="758"/>
      <c r="U21" s="758"/>
      <c r="V21" s="758"/>
      <c r="W21" s="758"/>
      <c r="X21" s="758"/>
      <c r="Y21" s="758"/>
      <c r="Z21" s="758"/>
      <c r="AA21" s="758"/>
      <c r="AB21" s="758"/>
      <c r="AC21" s="758"/>
      <c r="AD21" s="758"/>
      <c r="AE21" s="758"/>
      <c r="AF21" s="758"/>
      <c r="AG21" s="1287"/>
      <c r="AH21" s="757"/>
      <c r="AI21" s="901"/>
      <c r="AJ21" s="907" t="s">
        <v>685</v>
      </c>
      <c r="AK21" s="888">
        <v>43.249974722120498</v>
      </c>
      <c r="AL21" s="862" t="s">
        <v>681</v>
      </c>
      <c r="AM21" s="908" t="s">
        <v>686</v>
      </c>
      <c r="AN21" s="901"/>
      <c r="AO21" s="903"/>
      <c r="AP21" s="1407" t="s">
        <v>687</v>
      </c>
      <c r="AQ21" s="1408"/>
      <c r="AR21" s="1408"/>
      <c r="AS21" s="1408"/>
      <c r="AT21" s="1409"/>
      <c r="AU21" s="669">
        <v>1.5</v>
      </c>
      <c r="AV21" s="669">
        <v>1</v>
      </c>
      <c r="AW21" s="669">
        <v>1.5</v>
      </c>
      <c r="AX21" s="670" t="s">
        <v>110</v>
      </c>
      <c r="AY21" s="670" t="s">
        <v>110</v>
      </c>
      <c r="AZ21" s="670" t="s">
        <v>110</v>
      </c>
      <c r="BA21" s="670" t="s">
        <v>110</v>
      </c>
      <c r="BB21" s="681" t="s">
        <v>110</v>
      </c>
      <c r="BC21" s="757"/>
      <c r="BD21" s="757"/>
      <c r="BE21" s="757"/>
      <c r="BF21" s="757"/>
      <c r="BG21" s="757"/>
      <c r="BH21" s="757"/>
      <c r="BI21" s="757"/>
      <c r="BJ21" s="753"/>
      <c r="BK21" s="757"/>
      <c r="BL21" s="757"/>
      <c r="BM21" s="757"/>
      <c r="BN21" s="757"/>
      <c r="BO21" s="757"/>
      <c r="BP21" s="757"/>
      <c r="BQ21" s="757"/>
      <c r="BR21" s="757"/>
      <c r="BS21" s="757"/>
      <c r="BT21" s="757"/>
      <c r="BU21" s="757"/>
      <c r="BV21" s="757"/>
      <c r="BW21" s="757"/>
      <c r="BX21" s="757"/>
      <c r="BY21" s="757"/>
      <c r="BZ21" s="757"/>
      <c r="CA21" s="757"/>
      <c r="CB21" s="757"/>
      <c r="CC21" s="757"/>
      <c r="CD21" s="757"/>
      <c r="CE21" s="757"/>
      <c r="CF21" s="757"/>
      <c r="CG21" s="757"/>
      <c r="CH21" s="757"/>
      <c r="CI21" s="757"/>
      <c r="CJ21" s="757"/>
      <c r="CK21" s="757"/>
      <c r="CL21" s="757"/>
      <c r="CM21" s="757"/>
      <c r="CN21" s="757"/>
      <c r="CO21" s="757"/>
      <c r="CP21" s="757"/>
      <c r="CQ21" s="757"/>
      <c r="CR21" s="757"/>
      <c r="CS21" s="757"/>
      <c r="CT21" s="757"/>
      <c r="CU21" s="757"/>
      <c r="CV21" s="757"/>
      <c r="CW21" s="757"/>
      <c r="CX21" s="757"/>
      <c r="CY21" s="757"/>
      <c r="CZ21" s="757"/>
      <c r="DA21" s="757"/>
      <c r="DB21" s="757"/>
      <c r="DC21" s="757"/>
      <c r="DD21" s="757"/>
      <c r="DE21" s="757"/>
      <c r="DF21" s="757"/>
      <c r="DG21" s="757"/>
      <c r="DH21" s="757"/>
      <c r="DI21" s="767"/>
      <c r="DJ21" s="753"/>
      <c r="DK21" s="753"/>
      <c r="DL21" s="753"/>
      <c r="DM21" s="753"/>
      <c r="DN21" s="808"/>
      <c r="DO21" s="775"/>
    </row>
    <row r="22" spans="1:122" ht="12.75" customHeight="1">
      <c r="A22" s="319"/>
      <c r="B22" s="234" t="s">
        <v>688</v>
      </c>
      <c r="C22" s="264">
        <v>10.82</v>
      </c>
      <c r="D22" s="851" t="s">
        <v>681</v>
      </c>
      <c r="E22" s="1261"/>
      <c r="F22" s="1261"/>
      <c r="G22" s="865" t="s">
        <v>99</v>
      </c>
      <c r="H22" s="780"/>
      <c r="I22" s="829"/>
      <c r="J22" s="57"/>
      <c r="K22" s="1265" t="s">
        <v>659</v>
      </c>
      <c r="L22" s="758"/>
      <c r="M22" s="758"/>
      <c r="N22" s="778"/>
      <c r="O22" s="758"/>
      <c r="P22" s="758"/>
      <c r="Q22" s="758"/>
      <c r="R22" s="758"/>
      <c r="S22" s="758"/>
      <c r="T22" s="758"/>
      <c r="U22" s="758"/>
      <c r="V22" s="758"/>
      <c r="W22" s="758"/>
      <c r="X22" s="758"/>
      <c r="Y22" s="758"/>
      <c r="Z22" s="758"/>
      <c r="AA22" s="758"/>
      <c r="AB22" s="758"/>
      <c r="AC22" s="758"/>
      <c r="AD22" s="758"/>
      <c r="AE22" s="758"/>
      <c r="AF22" s="758"/>
      <c r="AG22" s="1294"/>
      <c r="AH22" s="757"/>
      <c r="AI22" s="901"/>
      <c r="AJ22" s="907" t="s">
        <v>688</v>
      </c>
      <c r="AK22" s="890">
        <v>10.823768439321084</v>
      </c>
      <c r="AL22" s="862" t="s">
        <v>681</v>
      </c>
      <c r="AM22" s="908" t="s">
        <v>689</v>
      </c>
      <c r="AN22" s="901"/>
      <c r="AO22" s="903"/>
      <c r="AP22" s="1407" t="s">
        <v>690</v>
      </c>
      <c r="AQ22" s="1408"/>
      <c r="AR22" s="1408"/>
      <c r="AS22" s="1408"/>
      <c r="AT22" s="1409"/>
      <c r="AU22" s="596">
        <v>5</v>
      </c>
      <c r="AV22" s="596">
        <v>3</v>
      </c>
      <c r="AW22" s="596">
        <v>4.5</v>
      </c>
      <c r="AX22" s="594" t="s">
        <v>110</v>
      </c>
      <c r="AY22" s="594" t="s">
        <v>110</v>
      </c>
      <c r="AZ22" s="595" t="s">
        <v>112</v>
      </c>
      <c r="BA22" s="595" t="s">
        <v>112</v>
      </c>
      <c r="BB22" s="685" t="s">
        <v>112</v>
      </c>
      <c r="BC22" s="757"/>
      <c r="BD22" s="757"/>
      <c r="BE22" s="757"/>
      <c r="BF22" s="757"/>
      <c r="BG22" s="757"/>
      <c r="BH22" s="757"/>
      <c r="BI22" s="757"/>
      <c r="BJ22" s="753"/>
      <c r="BK22" s="757"/>
      <c r="BL22" s="757"/>
      <c r="BM22" s="757"/>
      <c r="BN22" s="757"/>
      <c r="BO22" s="757"/>
      <c r="BP22" s="757"/>
      <c r="BQ22" s="757"/>
      <c r="BR22" s="757"/>
      <c r="BS22" s="757"/>
      <c r="BT22" s="757"/>
      <c r="BU22" s="757"/>
      <c r="BV22" s="757"/>
      <c r="BW22" s="757"/>
      <c r="BX22" s="757"/>
      <c r="BY22" s="757"/>
      <c r="BZ22" s="757"/>
      <c r="CA22" s="757"/>
      <c r="CB22" s="757"/>
      <c r="CC22" s="757"/>
      <c r="CD22" s="757"/>
      <c r="CE22" s="757"/>
      <c r="CF22" s="757"/>
      <c r="CG22" s="757"/>
      <c r="CH22" s="757"/>
      <c r="CI22" s="757"/>
      <c r="CJ22" s="757"/>
      <c r="CK22" s="757"/>
      <c r="CL22" s="757"/>
      <c r="CM22" s="757"/>
      <c r="CN22" s="757"/>
      <c r="CO22" s="757"/>
      <c r="CP22" s="757"/>
      <c r="CQ22" s="757"/>
      <c r="CR22" s="757"/>
      <c r="CS22" s="757"/>
      <c r="CT22" s="757"/>
      <c r="CU22" s="757"/>
      <c r="CV22" s="757"/>
      <c r="CW22" s="757"/>
      <c r="CX22" s="757"/>
      <c r="CY22" s="757"/>
      <c r="CZ22" s="757"/>
      <c r="DA22" s="757"/>
      <c r="DB22" s="757"/>
      <c r="DC22" s="757"/>
      <c r="DD22" s="757"/>
      <c r="DE22" s="757"/>
      <c r="DF22" s="757"/>
      <c r="DG22" s="757"/>
      <c r="DH22" s="757"/>
      <c r="DI22" s="767"/>
      <c r="DJ22" s="753"/>
      <c r="DK22" s="753"/>
      <c r="DL22" s="753"/>
      <c r="DM22" s="753"/>
      <c r="DN22" s="778"/>
      <c r="DO22" s="770"/>
      <c r="DR22" s="819"/>
    </row>
    <row r="23" spans="1:122" ht="12.75" customHeight="1">
      <c r="A23" s="319"/>
      <c r="B23" s="686" t="s">
        <v>691</v>
      </c>
      <c r="C23" s="264">
        <v>62.4</v>
      </c>
      <c r="D23" s="851" t="s">
        <v>675</v>
      </c>
      <c r="E23" s="1262" t="str">
        <f>IF(AND($C$25=0,$C$24&gt;0),"When Wp = 0, must input hp = 0 !","")</f>
        <v/>
      </c>
      <c r="F23" s="780"/>
      <c r="G23" s="780"/>
      <c r="H23" s="780"/>
      <c r="I23" s="829"/>
      <c r="J23" s="57"/>
      <c r="K23" s="778" t="s">
        <v>692</v>
      </c>
      <c r="L23" s="1081" t="s">
        <v>405</v>
      </c>
      <c r="M23" s="1121" t="str">
        <f>$C$8</f>
        <v>II</v>
      </c>
      <c r="N23" s="1039" t="s">
        <v>406</v>
      </c>
      <c r="O23" s="778"/>
      <c r="P23" s="19"/>
      <c r="Q23" s="758"/>
      <c r="R23" s="758"/>
      <c r="S23" s="758"/>
      <c r="T23" s="758"/>
      <c r="U23" s="758"/>
      <c r="V23" s="758"/>
      <c r="W23" s="758"/>
      <c r="X23" s="758"/>
      <c r="Y23" s="758"/>
      <c r="Z23" s="758"/>
      <c r="AA23" s="758"/>
      <c r="AB23" s="758"/>
      <c r="AC23" s="758"/>
      <c r="AD23" s="758"/>
      <c r="AE23" s="758"/>
      <c r="AF23" s="758"/>
      <c r="AG23" s="1287"/>
      <c r="AH23" s="757"/>
      <c r="AI23" s="758"/>
      <c r="AJ23" s="758"/>
      <c r="AK23" s="758"/>
      <c r="AL23" s="758"/>
      <c r="AM23" s="758"/>
      <c r="AN23" s="901"/>
      <c r="AO23" s="903"/>
      <c r="AP23" s="1407" t="s">
        <v>693</v>
      </c>
      <c r="AQ23" s="1408"/>
      <c r="AR23" s="1408"/>
      <c r="AS23" s="1408"/>
      <c r="AT23" s="1409"/>
      <c r="AU23" s="596">
        <v>3</v>
      </c>
      <c r="AV23" s="596">
        <v>2</v>
      </c>
      <c r="AW23" s="596">
        <v>2.5</v>
      </c>
      <c r="AX23" s="594" t="s">
        <v>110</v>
      </c>
      <c r="AY23" s="594" t="s">
        <v>110</v>
      </c>
      <c r="AZ23" s="596">
        <v>50</v>
      </c>
      <c r="BA23" s="596">
        <v>50</v>
      </c>
      <c r="BB23" s="687">
        <v>50</v>
      </c>
      <c r="BC23" s="757"/>
      <c r="BD23" s="757"/>
      <c r="BE23" s="757"/>
      <c r="BF23" s="757"/>
      <c r="BG23" s="757"/>
      <c r="BH23" s="757"/>
      <c r="BI23" s="757"/>
      <c r="BJ23" s="753"/>
      <c r="BK23" s="757"/>
      <c r="BL23" s="757"/>
      <c r="BM23" s="757"/>
      <c r="BN23" s="757"/>
      <c r="BO23" s="757"/>
      <c r="BP23" s="757"/>
      <c r="BQ23" s="757"/>
      <c r="BR23" s="757"/>
      <c r="BS23" s="757"/>
      <c r="BT23" s="757"/>
      <c r="BU23" s="757"/>
      <c r="BV23" s="757"/>
      <c r="BW23" s="757"/>
      <c r="BX23" s="757"/>
      <c r="BY23" s="757"/>
      <c r="BZ23" s="757"/>
      <c r="CA23" s="757"/>
      <c r="CB23" s="757"/>
      <c r="CC23" s="757"/>
      <c r="CD23" s="757"/>
      <c r="CE23" s="757"/>
      <c r="CF23" s="757"/>
      <c r="CG23" s="757"/>
      <c r="CH23" s="757"/>
      <c r="CI23" s="757"/>
      <c r="CJ23" s="757"/>
      <c r="CK23" s="757"/>
      <c r="CL23" s="757"/>
      <c r="CM23" s="757"/>
      <c r="CN23" s="757"/>
      <c r="CO23" s="757"/>
      <c r="CP23" s="757"/>
      <c r="CQ23" s="757"/>
      <c r="CR23" s="757"/>
      <c r="CS23" s="757"/>
      <c r="CT23" s="757"/>
      <c r="CU23" s="757"/>
      <c r="CV23" s="757"/>
      <c r="CW23" s="757"/>
      <c r="CX23" s="757"/>
      <c r="CY23" s="757"/>
      <c r="CZ23" s="757"/>
      <c r="DA23" s="757"/>
      <c r="DB23" s="757"/>
      <c r="DC23" s="757"/>
      <c r="DD23" s="757"/>
      <c r="DE23" s="757"/>
      <c r="DF23" s="757"/>
      <c r="DG23" s="757"/>
      <c r="DH23" s="757"/>
      <c r="DI23" s="767"/>
      <c r="DJ23" s="753"/>
      <c r="DK23" s="753"/>
      <c r="DL23" s="753"/>
      <c r="DM23" s="753"/>
      <c r="DN23" s="778"/>
      <c r="DO23" s="770"/>
      <c r="DR23" s="819"/>
    </row>
    <row r="24" spans="1:122" ht="12.75" customHeight="1">
      <c r="A24" s="319"/>
      <c r="B24" s="234" t="s">
        <v>694</v>
      </c>
      <c r="C24" s="262">
        <v>20</v>
      </c>
      <c r="D24" s="852" t="s">
        <v>54</v>
      </c>
      <c r="E24" s="1262" t="str">
        <f>IF(AND($C$24=0,$C$25&gt;0),"When hp = 0, must input Wp = 0 !","")</f>
        <v/>
      </c>
      <c r="F24" s="1261"/>
      <c r="G24" s="780"/>
      <c r="H24" s="780"/>
      <c r="I24" s="829"/>
      <c r="J24" s="57"/>
      <c r="K24" s="778" t="s">
        <v>695</v>
      </c>
      <c r="L24" s="758"/>
      <c r="M24" s="758"/>
      <c r="N24" s="758"/>
      <c r="O24" s="778"/>
      <c r="P24" s="19"/>
      <c r="Q24" s="758"/>
      <c r="R24" s="758"/>
      <c r="S24" s="758"/>
      <c r="T24" s="758"/>
      <c r="U24" s="758"/>
      <c r="V24" s="758"/>
      <c r="W24" s="758"/>
      <c r="X24" s="758"/>
      <c r="Y24" s="758"/>
      <c r="Z24" s="758"/>
      <c r="AA24" s="758"/>
      <c r="AB24" s="758"/>
      <c r="AC24" s="758"/>
      <c r="AD24" s="758"/>
      <c r="AE24" s="758"/>
      <c r="AF24" s="758"/>
      <c r="AG24" s="1287"/>
      <c r="AH24" s="757"/>
      <c r="AI24" s="904" t="s">
        <v>696</v>
      </c>
      <c r="AJ24" s="758"/>
      <c r="AK24" s="758"/>
      <c r="AL24" s="758"/>
      <c r="AM24" s="758"/>
      <c r="AN24" s="909"/>
      <c r="AO24" s="903"/>
      <c r="AP24" s="1407" t="s">
        <v>697</v>
      </c>
      <c r="AQ24" s="1408"/>
      <c r="AR24" s="1408"/>
      <c r="AS24" s="1408"/>
      <c r="AT24" s="1409"/>
      <c r="AU24" s="596">
        <v>0.8</v>
      </c>
      <c r="AV24" s="596">
        <v>1</v>
      </c>
      <c r="AW24" s="596">
        <v>1</v>
      </c>
      <c r="AX24" s="594" t="s">
        <v>110</v>
      </c>
      <c r="AY24" s="594" t="s">
        <v>110</v>
      </c>
      <c r="AZ24" s="594" t="s">
        <v>110</v>
      </c>
      <c r="BA24" s="594" t="s">
        <v>110</v>
      </c>
      <c r="BB24" s="611" t="s">
        <v>110</v>
      </c>
      <c r="BC24" s="757"/>
      <c r="BD24" s="757"/>
      <c r="BE24" s="774"/>
      <c r="BF24" s="774"/>
      <c r="BG24" s="774"/>
      <c r="BH24" s="774"/>
      <c r="BI24" s="774"/>
      <c r="BJ24" s="753"/>
      <c r="BK24" s="774"/>
      <c r="BL24" s="774"/>
      <c r="BM24" s="774"/>
      <c r="BN24" s="774"/>
      <c r="BO24" s="774"/>
      <c r="BP24" s="774"/>
      <c r="BQ24" s="774"/>
      <c r="BR24" s="774"/>
      <c r="BS24" s="774"/>
      <c r="BT24" s="774"/>
      <c r="BU24" s="774"/>
      <c r="BV24" s="774"/>
      <c r="BW24" s="774"/>
      <c r="BX24" s="774"/>
      <c r="BY24" s="774"/>
      <c r="BZ24" s="774"/>
      <c r="CA24" s="774"/>
      <c r="CB24" s="774"/>
      <c r="CC24" s="774"/>
      <c r="CD24" s="774"/>
      <c r="CE24" s="774"/>
      <c r="CF24" s="774"/>
      <c r="CG24" s="774"/>
      <c r="CH24" s="774"/>
      <c r="CI24" s="774"/>
      <c r="CJ24" s="774"/>
      <c r="CK24" s="774"/>
      <c r="CL24" s="774"/>
      <c r="CM24" s="774"/>
      <c r="CN24" s="774"/>
      <c r="CO24" s="774"/>
      <c r="CP24" s="774"/>
      <c r="CQ24" s="774"/>
      <c r="CR24" s="774"/>
      <c r="CS24" s="774"/>
      <c r="CT24" s="774"/>
      <c r="CU24" s="774"/>
      <c r="CV24" s="774"/>
      <c r="CW24" s="774"/>
      <c r="CX24" s="774"/>
      <c r="CY24" s="774"/>
      <c r="CZ24" s="774"/>
      <c r="DA24" s="774"/>
      <c r="DB24" s="774"/>
      <c r="DC24" s="774"/>
      <c r="DD24" s="774"/>
      <c r="DE24" s="774"/>
      <c r="DF24" s="774"/>
      <c r="DG24" s="774"/>
      <c r="DH24" s="774"/>
      <c r="DI24" s="767"/>
      <c r="DJ24" s="753"/>
      <c r="DK24" s="753"/>
      <c r="DL24" s="753"/>
      <c r="DM24" s="753"/>
      <c r="DN24" s="778"/>
      <c r="DO24" s="770"/>
      <c r="DR24" s="819"/>
    </row>
    <row r="25" spans="1:122" ht="12.75" customHeight="1">
      <c r="A25" s="319"/>
      <c r="B25" s="234" t="s">
        <v>698</v>
      </c>
      <c r="C25" s="264">
        <v>878.49</v>
      </c>
      <c r="D25" s="851" t="s">
        <v>681</v>
      </c>
      <c r="E25" s="1262" t="str">
        <f>IF(AND(OR($C$24=0,$C$25=0),$C$26="Yes"),"When either hp = 0 or Wp = 0, must input ''No'' !","")</f>
        <v/>
      </c>
      <c r="F25" s="1163"/>
      <c r="G25" s="1163"/>
      <c r="H25" s="1163"/>
      <c r="I25" s="829"/>
      <c r="J25" s="15"/>
      <c r="K25" s="1300"/>
      <c r="L25" s="270" t="s">
        <v>462</v>
      </c>
      <c r="M25" s="1297"/>
      <c r="N25" s="1113"/>
      <c r="O25" s="1298"/>
      <c r="P25" s="47"/>
      <c r="Q25" s="758"/>
      <c r="R25" s="758"/>
      <c r="S25" s="758"/>
      <c r="T25" s="758"/>
      <c r="U25" s="758"/>
      <c r="V25" s="758"/>
      <c r="W25" s="758"/>
      <c r="X25" s="758"/>
      <c r="Y25" s="758"/>
      <c r="Z25" s="758"/>
      <c r="AA25" s="758"/>
      <c r="AB25" s="758"/>
      <c r="AC25" s="758"/>
      <c r="AD25" s="758"/>
      <c r="AE25" s="758"/>
      <c r="AF25" s="758"/>
      <c r="AG25" s="1287"/>
      <c r="AH25" s="770"/>
      <c r="AI25" s="901"/>
      <c r="AJ25" s="907" t="s">
        <v>698</v>
      </c>
      <c r="AK25" s="910">
        <v>878.4873825393604</v>
      </c>
      <c r="AL25" s="862" t="s">
        <v>681</v>
      </c>
      <c r="AM25" s="908" t="s">
        <v>699</v>
      </c>
      <c r="AN25" s="909"/>
      <c r="AO25" s="911"/>
      <c r="AP25" s="1407" t="s">
        <v>700</v>
      </c>
      <c r="AQ25" s="1408"/>
      <c r="AR25" s="1408"/>
      <c r="AS25" s="1408"/>
      <c r="AT25" s="1409"/>
      <c r="AU25" s="689">
        <v>3.5</v>
      </c>
      <c r="AV25" s="689">
        <v>3</v>
      </c>
      <c r="AW25" s="689">
        <v>3</v>
      </c>
      <c r="AX25" s="690" t="s">
        <v>110</v>
      </c>
      <c r="AY25" s="690" t="s">
        <v>110</v>
      </c>
      <c r="AZ25" s="691" t="s">
        <v>112</v>
      </c>
      <c r="BA25" s="691" t="s">
        <v>112</v>
      </c>
      <c r="BB25" s="691" t="s">
        <v>112</v>
      </c>
      <c r="BC25" s="803"/>
      <c r="BD25" s="803"/>
      <c r="BE25" s="803"/>
      <c r="BF25" s="803"/>
      <c r="BG25" s="803"/>
      <c r="BH25" s="803"/>
      <c r="BI25" s="803"/>
      <c r="BJ25" s="774"/>
      <c r="BK25" s="774"/>
      <c r="BL25" s="774"/>
      <c r="BM25" s="774"/>
      <c r="BN25" s="774"/>
      <c r="BO25" s="774"/>
      <c r="BP25" s="774"/>
      <c r="BQ25" s="774"/>
      <c r="BR25" s="774"/>
      <c r="BS25" s="774"/>
      <c r="BT25" s="774"/>
      <c r="BU25" s="774"/>
      <c r="BV25" s="774"/>
      <c r="BW25" s="774"/>
      <c r="BX25" s="774"/>
      <c r="BY25" s="774"/>
      <c r="BZ25" s="774"/>
      <c r="CA25" s="774"/>
      <c r="CB25" s="774"/>
      <c r="CC25" s="774"/>
      <c r="CD25" s="774"/>
      <c r="CE25" s="774"/>
      <c r="CF25" s="774"/>
      <c r="CG25" s="774"/>
      <c r="CH25" s="774"/>
      <c r="CI25" s="770"/>
      <c r="CJ25" s="770"/>
      <c r="CK25" s="770"/>
      <c r="CL25" s="770"/>
      <c r="CM25" s="770"/>
      <c r="CN25" s="770"/>
      <c r="CO25" s="770"/>
      <c r="CP25" s="770"/>
      <c r="CQ25" s="770"/>
      <c r="CR25" s="770"/>
      <c r="CS25" s="770"/>
      <c r="CT25" s="770"/>
      <c r="CU25" s="770"/>
      <c r="CV25" s="770"/>
      <c r="CW25" s="770"/>
      <c r="CX25" s="770"/>
      <c r="CY25" s="770"/>
      <c r="CZ25" s="770"/>
      <c r="DA25" s="770"/>
      <c r="DB25" s="770"/>
      <c r="DC25" s="770"/>
      <c r="DD25" s="770"/>
      <c r="DE25" s="770"/>
      <c r="DF25" s="770"/>
      <c r="DG25" s="770"/>
      <c r="DH25" s="770"/>
      <c r="DI25" s="767"/>
      <c r="DJ25" s="753"/>
      <c r="DK25" s="753"/>
      <c r="DL25" s="753"/>
      <c r="DM25" s="753"/>
      <c r="DN25" s="778"/>
      <c r="DO25" s="770"/>
      <c r="DR25" s="819"/>
    </row>
    <row r="26" spans="1:122" ht="12.75" customHeight="1">
      <c r="A26" s="319"/>
      <c r="B26" s="234" t="s">
        <v>701</v>
      </c>
      <c r="C26" s="2" t="s">
        <v>692</v>
      </c>
      <c r="D26" s="1163"/>
      <c r="E26" s="780"/>
      <c r="F26" s="780"/>
      <c r="G26" s="780"/>
      <c r="H26" s="780"/>
      <c r="I26" s="829"/>
      <c r="J26" s="57"/>
      <c r="K26" s="1301"/>
      <c r="L26" s="1302"/>
      <c r="M26" s="1112" t="s">
        <v>384</v>
      </c>
      <c r="N26" s="1297"/>
      <c r="O26" s="1298"/>
      <c r="P26" s="19"/>
      <c r="Q26" s="758"/>
      <c r="R26" s="758"/>
      <c r="S26" s="758"/>
      <c r="T26" s="758"/>
      <c r="U26" s="758"/>
      <c r="V26" s="758"/>
      <c r="W26" s="758"/>
      <c r="X26" s="758"/>
      <c r="Y26" s="758"/>
      <c r="Z26" s="758"/>
      <c r="AA26" s="758"/>
      <c r="AB26" s="758"/>
      <c r="AC26" s="758"/>
      <c r="AD26" s="758"/>
      <c r="AE26" s="758"/>
      <c r="AF26" s="758"/>
      <c r="AG26" s="1287"/>
      <c r="AH26" s="770"/>
      <c r="AI26" s="758"/>
      <c r="AJ26" s="901"/>
      <c r="AK26" s="901"/>
      <c r="AL26" s="901"/>
      <c r="AM26" s="901"/>
      <c r="AN26" s="901"/>
      <c r="AO26" s="911"/>
      <c r="AP26" s="1407" t="s">
        <v>702</v>
      </c>
      <c r="AQ26" s="1408"/>
      <c r="AR26" s="1408"/>
      <c r="AS26" s="1408"/>
      <c r="AT26" s="1409"/>
      <c r="AU26" s="657">
        <v>2.5</v>
      </c>
      <c r="AV26" s="657">
        <v>2</v>
      </c>
      <c r="AW26" s="657">
        <v>2.5</v>
      </c>
      <c r="AX26" s="658" t="s">
        <v>110</v>
      </c>
      <c r="AY26" s="658" t="s">
        <v>110</v>
      </c>
      <c r="AZ26" s="657">
        <v>100</v>
      </c>
      <c r="BA26" s="657">
        <v>100</v>
      </c>
      <c r="BB26" s="693" t="s">
        <v>112</v>
      </c>
      <c r="BC26" s="803"/>
      <c r="BD26" s="803"/>
      <c r="BE26" s="803"/>
      <c r="BF26" s="803"/>
      <c r="BG26" s="803"/>
      <c r="BH26" s="803"/>
      <c r="BI26" s="803"/>
      <c r="BJ26" s="774"/>
      <c r="BK26" s="774"/>
      <c r="BL26" s="774"/>
      <c r="BM26" s="774"/>
      <c r="BN26" s="774"/>
      <c r="BO26" s="774"/>
      <c r="BP26" s="774"/>
      <c r="BQ26" s="774"/>
      <c r="BR26" s="774"/>
      <c r="BS26" s="774"/>
      <c r="BT26" s="774"/>
      <c r="BU26" s="774"/>
      <c r="BV26" s="774"/>
      <c r="BW26" s="774"/>
      <c r="BX26" s="774"/>
      <c r="BY26" s="774"/>
      <c r="BZ26" s="774"/>
      <c r="CA26" s="774"/>
      <c r="CB26" s="774"/>
      <c r="CC26" s="774"/>
      <c r="CD26" s="774"/>
      <c r="CE26" s="774"/>
      <c r="CF26" s="774"/>
      <c r="CG26" s="774"/>
      <c r="CH26" s="774"/>
      <c r="CI26" s="770"/>
      <c r="CJ26" s="770"/>
      <c r="CK26" s="770"/>
      <c r="CL26" s="770"/>
      <c r="CM26" s="770"/>
      <c r="CN26" s="770"/>
      <c r="CO26" s="770"/>
      <c r="CP26" s="770"/>
      <c r="CQ26" s="770"/>
      <c r="CR26" s="770"/>
      <c r="CS26" s="770"/>
      <c r="CT26" s="770"/>
      <c r="CU26" s="770"/>
      <c r="CV26" s="770"/>
      <c r="CW26" s="770"/>
      <c r="CX26" s="770"/>
      <c r="CY26" s="770"/>
      <c r="CZ26" s="770"/>
      <c r="DA26" s="770"/>
      <c r="DB26" s="770"/>
      <c r="DC26" s="770"/>
      <c r="DD26" s="770"/>
      <c r="DE26" s="770"/>
      <c r="DF26" s="770"/>
      <c r="DG26" s="770"/>
      <c r="DH26" s="770"/>
      <c r="DI26" s="776"/>
      <c r="DM26" s="753"/>
      <c r="DN26" s="778"/>
      <c r="DO26" s="770"/>
      <c r="DR26" s="819"/>
    </row>
    <row r="27" spans="1:122" ht="12.75" customHeight="1">
      <c r="A27" s="319"/>
      <c r="B27" s="234" t="s">
        <v>703</v>
      </c>
      <c r="C27" s="292" t="s">
        <v>634</v>
      </c>
      <c r="D27" s="1373" t="str">
        <f>VLOOKUP($C$27,$T$7:$AB$13,2,FALSE)&amp;" (ASCE 7-10 Table 15.4-2)"</f>
        <v>Flat bottom, ground supported tanks - steel or fiber-reinforced - mechanically anchored (ASCE 7-10 Table 15.4-2)</v>
      </c>
      <c r="E27" s="1374"/>
      <c r="F27" s="1374"/>
      <c r="G27" s="1374"/>
      <c r="H27" s="1374"/>
      <c r="I27" s="836"/>
      <c r="K27" s="1301"/>
      <c r="L27" s="1281" t="s">
        <v>51</v>
      </c>
      <c r="M27" s="1120" t="s">
        <v>158</v>
      </c>
      <c r="N27" s="1121" t="s">
        <v>27</v>
      </c>
      <c r="O27" s="1121" t="s">
        <v>34</v>
      </c>
      <c r="P27" s="1341"/>
      <c r="Q27" s="753"/>
      <c r="R27" s="758"/>
      <c r="S27" s="758"/>
      <c r="T27" s="1303"/>
      <c r="U27" s="1304"/>
      <c r="V27" s="1305"/>
      <c r="W27" s="1305"/>
      <c r="X27" s="1305"/>
      <c r="Y27" s="1305"/>
      <c r="Z27" s="1305"/>
      <c r="AA27" s="1305"/>
      <c r="AB27" s="1305"/>
      <c r="AC27" s="1287"/>
      <c r="AD27" s="1287"/>
      <c r="AE27" s="1287"/>
      <c r="AF27" s="1287"/>
      <c r="AG27" s="1287"/>
      <c r="AH27" s="753"/>
      <c r="AI27" s="901"/>
      <c r="AJ27" s="758"/>
      <c r="AK27" s="758"/>
      <c r="AL27" s="758"/>
      <c r="AM27" s="901"/>
      <c r="AN27" s="901"/>
      <c r="AO27" s="900"/>
      <c r="AP27" s="1407" t="s">
        <v>704</v>
      </c>
      <c r="AQ27" s="1408"/>
      <c r="AR27" s="1408"/>
      <c r="AS27" s="1408"/>
      <c r="AT27" s="1409"/>
      <c r="AU27" s="694">
        <v>1</v>
      </c>
      <c r="AV27" s="694">
        <v>1</v>
      </c>
      <c r="AW27" s="694">
        <v>1</v>
      </c>
      <c r="AX27" s="695" t="s">
        <v>110</v>
      </c>
      <c r="AY27" s="695" t="s">
        <v>110</v>
      </c>
      <c r="AZ27" s="695" t="s">
        <v>110</v>
      </c>
      <c r="BA27" s="695" t="s">
        <v>110</v>
      </c>
      <c r="BB27" s="695" t="s">
        <v>110</v>
      </c>
      <c r="BC27" s="753"/>
      <c r="BD27" s="753"/>
      <c r="BE27" s="753"/>
      <c r="BF27" s="753"/>
      <c r="BG27" s="753"/>
      <c r="BH27" s="753"/>
      <c r="BI27" s="753"/>
      <c r="BJ27" s="753"/>
      <c r="BK27" s="753"/>
      <c r="BL27" s="753"/>
      <c r="BM27" s="753"/>
      <c r="BN27" s="753"/>
      <c r="BO27" s="753"/>
      <c r="BP27" s="753"/>
      <c r="BQ27" s="753"/>
      <c r="BR27" s="753"/>
      <c r="BS27" s="753"/>
      <c r="BT27" s="753"/>
      <c r="BU27" s="753"/>
      <c r="BV27" s="753"/>
      <c r="BW27" s="753"/>
      <c r="BX27" s="753"/>
      <c r="BY27" s="753"/>
      <c r="BZ27" s="753"/>
      <c r="CA27" s="753"/>
      <c r="CB27" s="753"/>
      <c r="CC27" s="753"/>
      <c r="CD27" s="753"/>
      <c r="CE27" s="753"/>
      <c r="CF27" s="753"/>
      <c r="CG27" s="753"/>
      <c r="CH27" s="753"/>
      <c r="CI27" s="753"/>
      <c r="CJ27" s="753"/>
      <c r="CK27" s="753"/>
      <c r="CL27" s="753"/>
      <c r="CM27" s="753"/>
      <c r="CN27" s="753"/>
      <c r="CO27" s="753"/>
      <c r="CP27" s="753"/>
      <c r="CQ27" s="753"/>
      <c r="CR27" s="753"/>
      <c r="CS27" s="753"/>
      <c r="CT27" s="753"/>
      <c r="CU27" s="753"/>
      <c r="CV27" s="753"/>
      <c r="CW27" s="753"/>
      <c r="CX27" s="753"/>
      <c r="CY27" s="753"/>
      <c r="CZ27" s="753"/>
      <c r="DA27" s="753"/>
      <c r="DB27" s="753"/>
      <c r="DC27" s="753"/>
      <c r="DD27" s="753"/>
      <c r="DE27" s="753"/>
      <c r="DF27" s="753"/>
      <c r="DG27" s="753"/>
      <c r="DH27" s="767"/>
      <c r="DI27" s="776"/>
      <c r="DM27" s="753"/>
      <c r="DN27" s="778"/>
      <c r="DO27" s="770"/>
      <c r="DR27" s="819"/>
    </row>
    <row r="28" spans="1:122" ht="12.75" customHeight="1">
      <c r="A28" s="696"/>
      <c r="B28" s="38"/>
      <c r="C28" s="89"/>
      <c r="D28" s="1374"/>
      <c r="E28" s="1374"/>
      <c r="F28" s="1374"/>
      <c r="G28" s="1374"/>
      <c r="H28" s="1374"/>
      <c r="I28" s="829"/>
      <c r="K28" s="1301"/>
      <c r="L28" s="1306" t="s">
        <v>52</v>
      </c>
      <c r="M28" s="882" t="s">
        <v>29</v>
      </c>
      <c r="N28" s="882" t="s">
        <v>29</v>
      </c>
      <c r="O28" s="882" t="s">
        <v>29</v>
      </c>
      <c r="P28" s="1341"/>
      <c r="Q28" s="753"/>
      <c r="R28" s="758"/>
      <c r="S28" s="758"/>
      <c r="T28" s="758"/>
      <c r="U28" s="758"/>
      <c r="V28" s="758"/>
      <c r="W28" s="758"/>
      <c r="X28" s="758"/>
      <c r="Y28" s="758"/>
      <c r="Z28" s="758"/>
      <c r="AA28" s="758"/>
      <c r="AB28" s="758"/>
      <c r="AC28" s="758"/>
      <c r="AD28" s="758"/>
      <c r="AE28" s="758"/>
      <c r="AF28" s="758"/>
      <c r="AG28" s="769"/>
      <c r="AH28" s="758"/>
      <c r="AI28" s="901"/>
      <c r="AJ28" s="905"/>
      <c r="AK28" s="912"/>
      <c r="AL28" s="862"/>
      <c r="AM28" s="901"/>
      <c r="AN28" s="900"/>
      <c r="AO28" s="900"/>
      <c r="AP28" s="1407" t="s">
        <v>705</v>
      </c>
      <c r="AQ28" s="1408"/>
      <c r="AR28" s="1408"/>
      <c r="AS28" s="1408"/>
      <c r="AT28" s="1409"/>
      <c r="AU28" s="657">
        <v>3</v>
      </c>
      <c r="AV28" s="657">
        <v>3</v>
      </c>
      <c r="AW28" s="657">
        <v>2.5</v>
      </c>
      <c r="AX28" s="658" t="s">
        <v>110</v>
      </c>
      <c r="AY28" s="658" t="s">
        <v>112</v>
      </c>
      <c r="AZ28" s="693" t="s">
        <v>112</v>
      </c>
      <c r="BA28" s="693" t="s">
        <v>112</v>
      </c>
      <c r="BB28" s="693" t="s">
        <v>112</v>
      </c>
      <c r="BC28" s="753"/>
      <c r="BD28" s="753"/>
      <c r="BE28" s="753"/>
      <c r="BF28" s="753"/>
      <c r="BG28" s="753"/>
      <c r="BH28" s="753"/>
      <c r="BI28" s="753"/>
      <c r="BJ28" s="753"/>
      <c r="BK28" s="753"/>
      <c r="BL28" s="753"/>
      <c r="BM28" s="753"/>
      <c r="BN28" s="753"/>
      <c r="BO28" s="753"/>
      <c r="BP28" s="753"/>
      <c r="BQ28" s="753"/>
      <c r="BR28" s="753"/>
      <c r="BS28" s="753"/>
      <c r="BT28" s="753"/>
      <c r="BU28" s="753"/>
      <c r="BV28" s="753"/>
      <c r="BW28" s="753"/>
      <c r="BX28" s="753"/>
      <c r="BY28" s="753"/>
      <c r="BZ28" s="753"/>
      <c r="CA28" s="753"/>
      <c r="CB28" s="753"/>
      <c r="CC28" s="753"/>
      <c r="CD28" s="753"/>
      <c r="CE28" s="753"/>
      <c r="CF28" s="753"/>
      <c r="CG28" s="753"/>
      <c r="CH28" s="753"/>
      <c r="CI28" s="753"/>
      <c r="CJ28" s="753"/>
      <c r="CK28" s="753"/>
      <c r="CL28" s="753"/>
      <c r="CM28" s="753"/>
      <c r="CN28" s="753"/>
      <c r="CO28" s="753"/>
      <c r="CP28" s="753"/>
      <c r="CQ28" s="753"/>
      <c r="CR28" s="753"/>
      <c r="CS28" s="753"/>
      <c r="CT28" s="753"/>
      <c r="CU28" s="753"/>
      <c r="CV28" s="753"/>
      <c r="CW28" s="753"/>
      <c r="CX28" s="753"/>
      <c r="CY28" s="753"/>
      <c r="CZ28" s="753"/>
      <c r="DA28" s="753"/>
      <c r="DB28" s="753"/>
      <c r="DC28" s="753"/>
      <c r="DD28" s="753"/>
      <c r="DE28" s="753"/>
      <c r="DF28" s="753"/>
      <c r="DG28" s="753"/>
      <c r="DH28" s="767"/>
      <c r="DI28" s="776"/>
      <c r="DM28" s="753"/>
      <c r="DN28" s="778"/>
      <c r="DO28" s="770"/>
      <c r="DR28" s="819"/>
    </row>
    <row r="29" spans="1:122" ht="12.75" customHeight="1">
      <c r="A29" s="696"/>
      <c r="B29" s="89"/>
      <c r="C29" s="89"/>
      <c r="D29" s="1374"/>
      <c r="E29" s="1374"/>
      <c r="F29" s="1374"/>
      <c r="G29" s="1374"/>
      <c r="H29" s="1374"/>
      <c r="I29" s="834"/>
      <c r="J29" s="57"/>
      <c r="K29" s="758"/>
      <c r="L29" s="883" t="s">
        <v>368</v>
      </c>
      <c r="M29" s="883" t="s">
        <v>31</v>
      </c>
      <c r="N29" s="883" t="s">
        <v>31</v>
      </c>
      <c r="O29" s="883" t="s">
        <v>33</v>
      </c>
      <c r="P29" s="189"/>
      <c r="Q29" s="753"/>
      <c r="R29" s="758"/>
      <c r="S29" s="758"/>
      <c r="T29" s="758"/>
      <c r="U29" s="758"/>
      <c r="V29" s="758"/>
      <c r="W29" s="758"/>
      <c r="X29" s="758"/>
      <c r="Y29" s="758"/>
      <c r="Z29" s="758"/>
      <c r="AA29" s="758"/>
      <c r="AB29" s="758"/>
      <c r="AC29" s="758"/>
      <c r="AD29" s="758"/>
      <c r="AE29" s="758"/>
      <c r="AF29" s="758"/>
      <c r="AG29" s="769"/>
      <c r="AH29" s="758"/>
      <c r="AI29" s="911"/>
      <c r="AJ29" s="905"/>
      <c r="AK29" s="912"/>
      <c r="AL29" s="862"/>
      <c r="AM29" s="901"/>
      <c r="AN29" s="901"/>
      <c r="AO29" s="900"/>
      <c r="AP29" s="1413" t="s">
        <v>706</v>
      </c>
      <c r="AQ29" s="1414"/>
      <c r="AR29" s="1414"/>
      <c r="AS29" s="1414"/>
      <c r="AT29" s="1415"/>
      <c r="AU29" s="698">
        <v>0.8</v>
      </c>
      <c r="AV29" s="698">
        <v>1</v>
      </c>
      <c r="AW29" s="698">
        <v>1</v>
      </c>
      <c r="AX29" s="699" t="s">
        <v>110</v>
      </c>
      <c r="AY29" s="699" t="s">
        <v>110</v>
      </c>
      <c r="AZ29" s="698">
        <v>50</v>
      </c>
      <c r="BA29" s="698">
        <v>50</v>
      </c>
      <c r="BB29" s="698">
        <v>50</v>
      </c>
      <c r="BC29" s="753"/>
      <c r="BD29" s="753"/>
      <c r="BE29" s="753"/>
      <c r="BF29" s="753"/>
      <c r="BG29" s="753"/>
      <c r="BH29" s="753"/>
      <c r="BI29" s="753"/>
      <c r="BJ29" s="753"/>
      <c r="BK29" s="753"/>
      <c r="BL29" s="753"/>
      <c r="BM29" s="753"/>
      <c r="BN29" s="753"/>
      <c r="BO29" s="753"/>
      <c r="BP29" s="753"/>
      <c r="BQ29" s="753"/>
      <c r="BR29" s="753"/>
      <c r="BS29" s="753"/>
      <c r="BT29" s="753"/>
      <c r="BU29" s="753"/>
      <c r="BV29" s="753"/>
      <c r="BW29" s="753"/>
      <c r="BX29" s="753"/>
      <c r="BY29" s="753"/>
      <c r="BZ29" s="753"/>
      <c r="CA29" s="753"/>
      <c r="CB29" s="753"/>
      <c r="CC29" s="753"/>
      <c r="CD29" s="753"/>
      <c r="CE29" s="753"/>
      <c r="CF29" s="753"/>
      <c r="CG29" s="753"/>
      <c r="CH29" s="753"/>
      <c r="CI29" s="753"/>
      <c r="CJ29" s="753"/>
      <c r="CK29" s="753"/>
      <c r="CL29" s="753"/>
      <c r="CM29" s="753"/>
      <c r="CN29" s="753"/>
      <c r="CO29" s="753"/>
      <c r="CP29" s="753"/>
      <c r="CQ29" s="753"/>
      <c r="CR29" s="753"/>
      <c r="CS29" s="753"/>
      <c r="CT29" s="753"/>
      <c r="CU29" s="753"/>
      <c r="CV29" s="753"/>
      <c r="CW29" s="753"/>
      <c r="CX29" s="753"/>
      <c r="CY29" s="753"/>
      <c r="CZ29" s="753"/>
      <c r="DA29" s="753"/>
      <c r="DB29" s="753"/>
      <c r="DC29" s="753"/>
      <c r="DD29" s="753"/>
      <c r="DE29" s="753"/>
      <c r="DF29" s="753"/>
      <c r="DG29" s="753"/>
      <c r="DH29" s="767"/>
      <c r="DI29" s="776"/>
      <c r="DM29" s="753"/>
      <c r="DN29" s="778"/>
      <c r="DO29" s="753"/>
      <c r="DR29" s="819"/>
    </row>
    <row r="30" spans="1:122" ht="12.75" customHeight="1">
      <c r="A30" s="54" t="s">
        <v>74</v>
      </c>
      <c r="B30" s="89"/>
      <c r="C30" s="89"/>
      <c r="D30" s="801" t="s">
        <v>707</v>
      </c>
      <c r="E30" s="780"/>
      <c r="F30" s="780"/>
      <c r="G30" s="835"/>
      <c r="H30" s="773"/>
      <c r="I30" s="836"/>
      <c r="K30" s="758"/>
      <c r="L30" s="883" t="s">
        <v>370</v>
      </c>
      <c r="M30" s="883" t="s">
        <v>33</v>
      </c>
      <c r="N30" s="883" t="s">
        <v>33</v>
      </c>
      <c r="O30" s="883" t="s">
        <v>32</v>
      </c>
      <c r="P30" s="189"/>
      <c r="Q30" s="753"/>
      <c r="R30" s="758"/>
      <c r="S30" s="758"/>
      <c r="T30" s="758"/>
      <c r="U30" s="758"/>
      <c r="V30" s="758"/>
      <c r="W30" s="758"/>
      <c r="X30" s="758"/>
      <c r="Y30" s="758"/>
      <c r="Z30" s="758"/>
      <c r="AA30" s="758"/>
      <c r="AB30" s="758"/>
      <c r="AC30" s="758"/>
      <c r="AD30" s="758"/>
      <c r="AE30" s="758"/>
      <c r="AF30" s="758"/>
      <c r="AG30" s="819"/>
      <c r="AH30" s="758"/>
      <c r="AI30" s="758"/>
      <c r="AJ30" s="758"/>
      <c r="AK30" s="758"/>
      <c r="AL30" s="758"/>
      <c r="AM30" s="758"/>
      <c r="AN30" s="758"/>
      <c r="AO30" s="901"/>
      <c r="AP30" s="1423" t="s">
        <v>708</v>
      </c>
      <c r="AQ30" s="1411"/>
      <c r="AR30" s="1411"/>
      <c r="AS30" s="1411"/>
      <c r="AT30" s="1412"/>
      <c r="AU30" s="700">
        <v>3</v>
      </c>
      <c r="AV30" s="700" t="s">
        <v>633</v>
      </c>
      <c r="AW30" s="700">
        <v>2.5</v>
      </c>
      <c r="AX30" s="701" t="s">
        <v>110</v>
      </c>
      <c r="AY30" s="701" t="s">
        <v>110</v>
      </c>
      <c r="AZ30" s="701" t="s">
        <v>110</v>
      </c>
      <c r="BA30" s="701" t="s">
        <v>110</v>
      </c>
      <c r="BB30" s="701" t="s">
        <v>110</v>
      </c>
      <c r="CI30" s="753"/>
      <c r="CJ30" s="753"/>
      <c r="CK30" s="753"/>
      <c r="CL30" s="753"/>
      <c r="CM30" s="753"/>
      <c r="CN30" s="753"/>
      <c r="CO30" s="753"/>
      <c r="CP30" s="753"/>
      <c r="CQ30" s="753"/>
      <c r="CR30" s="753"/>
      <c r="CS30" s="753"/>
      <c r="CT30" s="753"/>
      <c r="CU30" s="753"/>
      <c r="CV30" s="753"/>
      <c r="CW30" s="753"/>
      <c r="CX30" s="753"/>
      <c r="CY30" s="753"/>
      <c r="CZ30" s="753"/>
      <c r="DA30" s="753"/>
      <c r="DB30" s="753"/>
      <c r="DC30" s="753"/>
      <c r="DD30" s="753"/>
      <c r="DE30" s="753"/>
      <c r="DF30" s="753"/>
      <c r="DG30" s="753"/>
      <c r="DH30" s="776"/>
      <c r="DI30" s="776"/>
      <c r="DM30" s="753"/>
      <c r="DN30" s="778"/>
      <c r="DO30" s="753"/>
      <c r="DR30" s="819"/>
    </row>
    <row r="31" spans="1:122" ht="12.75" customHeight="1">
      <c r="A31" s="54" t="s">
        <v>81</v>
      </c>
      <c r="B31" s="89"/>
      <c r="C31" s="235" t="s">
        <v>707</v>
      </c>
      <c r="D31" s="866"/>
      <c r="E31" s="830"/>
      <c r="F31" s="753"/>
      <c r="G31" s="838"/>
      <c r="H31" s="773"/>
      <c r="I31" s="829"/>
      <c r="J31" s="57"/>
      <c r="K31" s="758"/>
      <c r="L31" s="884" t="s">
        <v>371</v>
      </c>
      <c r="M31" s="884" t="s">
        <v>32</v>
      </c>
      <c r="N31" s="884" t="s">
        <v>32</v>
      </c>
      <c r="O31" s="884" t="s">
        <v>32</v>
      </c>
      <c r="P31" s="47" t="s">
        <v>147</v>
      </c>
      <c r="Q31" s="753"/>
      <c r="R31" s="758"/>
      <c r="S31" s="758"/>
      <c r="T31" s="758"/>
      <c r="U31" s="758"/>
      <c r="V31" s="758"/>
      <c r="W31" s="758"/>
      <c r="X31" s="758"/>
      <c r="Y31" s="758"/>
      <c r="Z31" s="758"/>
      <c r="AA31" s="758"/>
      <c r="AB31" s="758"/>
      <c r="AC31" s="758"/>
      <c r="AD31" s="758"/>
      <c r="AE31" s="758"/>
      <c r="AF31" s="758"/>
      <c r="AG31" s="769"/>
      <c r="AH31" s="758"/>
      <c r="AI31" s="901"/>
      <c r="AJ31" s="758"/>
      <c r="AK31" s="758"/>
      <c r="AL31" s="758"/>
      <c r="AM31" s="758"/>
      <c r="AN31" s="901"/>
      <c r="AO31" s="901"/>
      <c r="AP31" s="1407" t="s">
        <v>709</v>
      </c>
      <c r="AQ31" s="1408"/>
      <c r="AR31" s="1408"/>
      <c r="AS31" s="1408"/>
      <c r="AT31" s="1409"/>
      <c r="AU31" s="702">
        <v>2.5</v>
      </c>
      <c r="AV31" s="654" t="s">
        <v>637</v>
      </c>
      <c r="AW31" s="702">
        <v>2</v>
      </c>
      <c r="AX31" s="703" t="s">
        <v>110</v>
      </c>
      <c r="AY31" s="703" t="s">
        <v>110</v>
      </c>
      <c r="AZ31" s="703" t="s">
        <v>110</v>
      </c>
      <c r="BA31" s="703" t="s">
        <v>110</v>
      </c>
      <c r="BB31" s="703" t="s">
        <v>110</v>
      </c>
      <c r="CI31" s="753"/>
      <c r="CJ31" s="753"/>
      <c r="CK31" s="753"/>
      <c r="CL31" s="753"/>
      <c r="CM31" s="753"/>
      <c r="CN31" s="753"/>
      <c r="CO31" s="753"/>
      <c r="CP31" s="753"/>
      <c r="CQ31" s="753"/>
      <c r="CR31" s="753"/>
      <c r="CS31" s="753"/>
      <c r="CT31" s="753"/>
      <c r="CU31" s="753"/>
      <c r="CV31" s="753"/>
      <c r="CW31" s="753"/>
      <c r="CX31" s="753"/>
      <c r="CY31" s="753"/>
      <c r="CZ31" s="753"/>
      <c r="DA31" s="753"/>
      <c r="DB31" s="753"/>
      <c r="DC31" s="753"/>
      <c r="DD31" s="753"/>
      <c r="DE31" s="753"/>
      <c r="DF31" s="753"/>
      <c r="DG31" s="753"/>
      <c r="DH31" s="776"/>
      <c r="DI31" s="776"/>
      <c r="DM31" s="753"/>
      <c r="DN31" s="778"/>
      <c r="DO31" s="753"/>
      <c r="DR31" s="819"/>
    </row>
    <row r="32" spans="1:122" ht="12.75" customHeight="1">
      <c r="A32" s="857"/>
      <c r="B32" s="798" t="s">
        <v>710</v>
      </c>
      <c r="C32" s="880">
        <v>1.5184</v>
      </c>
      <c r="D32" s="55" t="s">
        <v>454</v>
      </c>
      <c r="E32" s="809"/>
      <c r="F32" s="832"/>
      <c r="G32" s="753"/>
      <c r="H32" s="753"/>
      <c r="I32" s="834"/>
      <c r="J32" s="57"/>
      <c r="K32" s="1265"/>
      <c r="L32" s="778" t="s">
        <v>56</v>
      </c>
      <c r="M32" s="769" t="s">
        <v>33</v>
      </c>
      <c r="N32" s="778" t="s">
        <v>707</v>
      </c>
      <c r="O32" s="778" t="s">
        <v>707</v>
      </c>
      <c r="P32" s="126">
        <f>IF($C$44="A",1,IF($C$44="B",2,IF($C$44="C",3,IF($C$44="D",4,IF($C$44="E",5,IF($C$44="F",6))))))</f>
        <v>3</v>
      </c>
      <c r="Q32" s="753"/>
      <c r="R32" s="758"/>
      <c r="S32" s="758"/>
      <c r="T32" s="753"/>
      <c r="U32" s="1307"/>
      <c r="V32" s="769"/>
      <c r="W32" s="769"/>
      <c r="X32" s="769"/>
      <c r="Y32" s="769"/>
      <c r="Z32" s="769"/>
      <c r="AA32" s="769"/>
      <c r="AB32" s="769"/>
      <c r="AC32" s="769"/>
      <c r="AD32" s="769"/>
      <c r="AE32" s="769"/>
      <c r="AF32" s="769"/>
      <c r="AG32" s="769"/>
      <c r="AH32" s="758"/>
      <c r="AI32" s="758"/>
      <c r="AJ32" s="758"/>
      <c r="AK32" s="758"/>
      <c r="AL32" s="758"/>
      <c r="AM32" s="758"/>
      <c r="AN32" s="758"/>
      <c r="AO32" s="758"/>
      <c r="AP32" s="1407" t="s">
        <v>711</v>
      </c>
      <c r="AQ32" s="1408"/>
      <c r="AR32" s="1408"/>
      <c r="AS32" s="1408"/>
      <c r="AT32" s="1409"/>
      <c r="AU32" s="694">
        <v>2</v>
      </c>
      <c r="AV32" s="654" t="s">
        <v>637</v>
      </c>
      <c r="AW32" s="694">
        <v>2</v>
      </c>
      <c r="AX32" s="695" t="s">
        <v>110</v>
      </c>
      <c r="AY32" s="695" t="s">
        <v>110</v>
      </c>
      <c r="AZ32" s="695" t="s">
        <v>110</v>
      </c>
      <c r="BA32" s="695" t="s">
        <v>110</v>
      </c>
      <c r="BB32" s="695" t="s">
        <v>110</v>
      </c>
      <c r="CI32" s="753"/>
      <c r="CJ32" s="753"/>
      <c r="CK32" s="753"/>
      <c r="CL32" s="753"/>
      <c r="CM32" s="753"/>
      <c r="CN32" s="753"/>
      <c r="CO32" s="753"/>
      <c r="CP32" s="753"/>
      <c r="CQ32" s="753"/>
      <c r="CR32" s="753"/>
      <c r="CS32" s="753"/>
      <c r="CT32" s="753"/>
      <c r="CU32" s="753"/>
      <c r="CV32" s="753"/>
      <c r="CW32" s="753"/>
      <c r="CX32" s="753"/>
      <c r="CY32" s="753"/>
      <c r="CZ32" s="753"/>
      <c r="DA32" s="753"/>
      <c r="DB32" s="753"/>
      <c r="DC32" s="753"/>
      <c r="DD32" s="753"/>
      <c r="DE32" s="753"/>
      <c r="DF32" s="753"/>
      <c r="DG32" s="753"/>
      <c r="DH32" s="776"/>
      <c r="DI32" s="776"/>
      <c r="DM32" s="753"/>
      <c r="DN32" s="919"/>
      <c r="DO32" s="775"/>
    </row>
    <row r="33" spans="1:122" ht="12.75" customHeight="1">
      <c r="A33" s="854"/>
      <c r="B33" s="798" t="s">
        <v>712</v>
      </c>
      <c r="C33" s="881">
        <v>2.3759999999999999</v>
      </c>
      <c r="D33" s="55" t="s">
        <v>455</v>
      </c>
      <c r="E33" s="809"/>
      <c r="F33" s="832"/>
      <c r="G33" s="804"/>
      <c r="H33" s="780"/>
      <c r="I33" s="829"/>
      <c r="J33" s="57"/>
      <c r="K33" s="1265"/>
      <c r="L33" s="758"/>
      <c r="M33" s="758"/>
      <c r="N33" s="778"/>
      <c r="O33" s="758"/>
      <c r="P33" s="189"/>
      <c r="Q33" s="775"/>
      <c r="R33" s="758"/>
      <c r="S33" s="758"/>
      <c r="T33" s="758"/>
      <c r="U33" s="758"/>
      <c r="V33" s="758"/>
      <c r="W33" s="758"/>
      <c r="X33" s="758"/>
      <c r="Y33" s="758"/>
      <c r="Z33" s="758"/>
      <c r="AA33" s="758"/>
      <c r="AB33" s="758"/>
      <c r="AC33" s="758"/>
      <c r="AD33" s="758"/>
      <c r="AE33" s="758"/>
      <c r="AF33" s="758"/>
      <c r="AG33" s="758"/>
      <c r="AH33" s="758"/>
      <c r="AI33" s="758"/>
      <c r="AJ33" s="758"/>
      <c r="AK33" s="758"/>
      <c r="AL33" s="758"/>
      <c r="AM33" s="758"/>
      <c r="AN33" s="758"/>
      <c r="AO33" s="758"/>
      <c r="AP33" s="1407" t="s">
        <v>713</v>
      </c>
      <c r="AQ33" s="1408"/>
      <c r="AR33" s="1408"/>
      <c r="AS33" s="1408"/>
      <c r="AT33" s="1409"/>
      <c r="AU33" s="694">
        <v>3.25</v>
      </c>
      <c r="AV33" s="654" t="s">
        <v>637</v>
      </c>
      <c r="AW33" s="694">
        <v>2</v>
      </c>
      <c r="AX33" s="695" t="s">
        <v>110</v>
      </c>
      <c r="AY33" s="695" t="s">
        <v>110</v>
      </c>
      <c r="AZ33" s="695" t="s">
        <v>110</v>
      </c>
      <c r="BA33" s="695" t="s">
        <v>110</v>
      </c>
      <c r="BB33" s="695" t="s">
        <v>110</v>
      </c>
      <c r="CI33" s="753"/>
      <c r="CJ33" s="753"/>
      <c r="CK33" s="753"/>
      <c r="CL33" s="753"/>
      <c r="CM33" s="753"/>
      <c r="CN33" s="753"/>
      <c r="CO33" s="753"/>
      <c r="CP33" s="753"/>
      <c r="CQ33" s="753"/>
      <c r="CR33" s="753"/>
      <c r="CS33" s="753"/>
      <c r="CT33" s="753"/>
      <c r="CU33" s="753"/>
      <c r="CV33" s="753"/>
      <c r="CW33" s="753"/>
      <c r="CX33" s="753"/>
      <c r="CY33" s="753"/>
      <c r="CZ33" s="753"/>
      <c r="DA33" s="753"/>
      <c r="DB33" s="753"/>
      <c r="DC33" s="753"/>
      <c r="DD33" s="753"/>
      <c r="DE33" s="753"/>
      <c r="DF33" s="753"/>
      <c r="DG33" s="753"/>
      <c r="DH33" s="776"/>
      <c r="DI33" s="776"/>
      <c r="DM33" s="753"/>
      <c r="DN33" s="919"/>
      <c r="DO33" s="775"/>
    </row>
    <row r="34" spans="1:122" ht="12.75" customHeight="1">
      <c r="A34" s="858" t="s">
        <v>707</v>
      </c>
      <c r="B34" s="780"/>
      <c r="C34" s="780"/>
      <c r="D34" s="20"/>
      <c r="E34" s="780"/>
      <c r="F34" s="780"/>
      <c r="G34" s="804"/>
      <c r="H34" s="837"/>
      <c r="I34" s="836"/>
      <c r="J34" s="57"/>
      <c r="K34" s="1265"/>
      <c r="L34" s="270" t="s">
        <v>463</v>
      </c>
      <c r="M34" s="1297"/>
      <c r="N34" s="1113"/>
      <c r="O34" s="1298"/>
      <c r="P34" s="70"/>
      <c r="Q34" s="775"/>
      <c r="R34" s="758"/>
      <c r="S34" s="758"/>
      <c r="T34" s="758"/>
      <c r="U34" s="758"/>
      <c r="V34" s="758"/>
      <c r="W34" s="758"/>
      <c r="X34" s="758"/>
      <c r="Y34" s="758"/>
      <c r="Z34" s="758"/>
      <c r="AA34" s="758"/>
      <c r="AB34" s="758"/>
      <c r="AC34" s="1287"/>
      <c r="AD34" s="1287"/>
      <c r="AE34" s="1287"/>
      <c r="AF34" s="1287"/>
      <c r="AG34" s="1287"/>
      <c r="AH34" s="758"/>
      <c r="AI34" s="913" t="s">
        <v>380</v>
      </c>
      <c r="AJ34" s="753"/>
      <c r="AK34" s="753"/>
      <c r="AL34" s="753"/>
      <c r="AM34" s="753"/>
      <c r="AN34" s="758"/>
      <c r="AO34" s="758"/>
      <c r="AP34" s="1407" t="s">
        <v>714</v>
      </c>
      <c r="AQ34" s="1408"/>
      <c r="AR34" s="1408"/>
      <c r="AS34" s="1408"/>
      <c r="AT34" s="1409"/>
      <c r="AU34" s="694">
        <v>1.5</v>
      </c>
      <c r="AV34" s="694" t="s">
        <v>715</v>
      </c>
      <c r="AW34" s="694">
        <v>1.5</v>
      </c>
      <c r="AX34" s="695" t="s">
        <v>110</v>
      </c>
      <c r="AY34" s="695" t="s">
        <v>110</v>
      </c>
      <c r="AZ34" s="695" t="s">
        <v>110</v>
      </c>
      <c r="BA34" s="695" t="s">
        <v>110</v>
      </c>
      <c r="BB34" s="695" t="s">
        <v>110</v>
      </c>
      <c r="CI34" s="753"/>
      <c r="CJ34" s="753"/>
      <c r="CK34" s="753"/>
      <c r="CL34" s="753"/>
      <c r="CM34" s="753"/>
      <c r="CN34" s="753"/>
      <c r="CO34" s="753"/>
      <c r="CP34" s="753"/>
      <c r="CQ34" s="753"/>
      <c r="CR34" s="753"/>
      <c r="CS34" s="753"/>
      <c r="CT34" s="753"/>
      <c r="CU34" s="753"/>
      <c r="CV34" s="753"/>
      <c r="CW34" s="753"/>
      <c r="CX34" s="753"/>
      <c r="CY34" s="753"/>
      <c r="CZ34" s="753"/>
      <c r="DA34" s="753"/>
      <c r="DB34" s="753"/>
      <c r="DC34" s="753"/>
      <c r="DD34" s="753"/>
      <c r="DE34" s="753"/>
      <c r="DF34" s="753"/>
      <c r="DG34" s="753"/>
      <c r="DH34" s="776"/>
      <c r="DI34" s="776"/>
    </row>
    <row r="35" spans="1:122" ht="12.75" customHeight="1">
      <c r="A35" s="854" t="s">
        <v>255</v>
      </c>
      <c r="B35" s="780"/>
      <c r="C35" s="788"/>
      <c r="D35" s="81"/>
      <c r="E35" s="780"/>
      <c r="F35" s="753"/>
      <c r="G35" s="804"/>
      <c r="H35" s="780"/>
      <c r="I35" s="829"/>
      <c r="J35" s="33"/>
      <c r="K35" s="1265"/>
      <c r="L35" s="1302"/>
      <c r="M35" s="1112" t="s">
        <v>384</v>
      </c>
      <c r="N35" s="1297"/>
      <c r="O35" s="1298"/>
      <c r="P35" s="19"/>
      <c r="Q35" s="783"/>
      <c r="R35" s="758"/>
      <c r="S35" s="758"/>
      <c r="T35" s="758"/>
      <c r="U35" s="758"/>
      <c r="V35" s="758"/>
      <c r="W35" s="758"/>
      <c r="X35" s="758"/>
      <c r="Y35" s="758"/>
      <c r="Z35" s="758"/>
      <c r="AA35" s="758"/>
      <c r="AB35" s="758"/>
      <c r="AC35" s="1287"/>
      <c r="AD35" s="1287"/>
      <c r="AE35" s="1287"/>
      <c r="AF35" s="1287"/>
      <c r="AG35" s="1287"/>
      <c r="AH35" s="758"/>
      <c r="AI35" s="767"/>
      <c r="AJ35" s="768"/>
      <c r="AK35" s="753"/>
      <c r="AL35" s="753"/>
      <c r="AM35" s="753"/>
      <c r="AN35" s="758"/>
      <c r="AO35" s="758"/>
      <c r="AP35" s="1424" t="s">
        <v>716</v>
      </c>
      <c r="AQ35" s="1414"/>
      <c r="AR35" s="1414"/>
      <c r="AS35" s="1414"/>
      <c r="AT35" s="1415"/>
      <c r="AU35" s="705">
        <v>1.5</v>
      </c>
      <c r="AV35" s="705" t="s">
        <v>715</v>
      </c>
      <c r="AW35" s="705">
        <v>1.5</v>
      </c>
      <c r="AX35" s="706" t="s">
        <v>110</v>
      </c>
      <c r="AY35" s="706" t="s">
        <v>110</v>
      </c>
      <c r="AZ35" s="706" t="s">
        <v>110</v>
      </c>
      <c r="BA35" s="706" t="s">
        <v>110</v>
      </c>
      <c r="BB35" s="706" t="s">
        <v>110</v>
      </c>
      <c r="CI35" s="753"/>
      <c r="CJ35" s="753"/>
      <c r="CK35" s="753"/>
      <c r="CL35" s="753"/>
      <c r="CM35" s="753"/>
      <c r="CN35" s="753"/>
      <c r="CO35" s="753"/>
      <c r="CP35" s="753"/>
      <c r="CQ35" s="753"/>
      <c r="CR35" s="753"/>
      <c r="CS35" s="753"/>
      <c r="CT35" s="753"/>
      <c r="CU35" s="753"/>
      <c r="CV35" s="753"/>
      <c r="CW35" s="753"/>
      <c r="CX35" s="753"/>
      <c r="CY35" s="753"/>
      <c r="CZ35" s="753"/>
      <c r="DA35" s="753"/>
      <c r="DB35" s="753"/>
      <c r="DC35" s="753"/>
      <c r="DD35" s="753"/>
      <c r="DE35" s="753"/>
      <c r="DF35" s="753"/>
      <c r="DG35" s="753"/>
      <c r="DH35" s="776"/>
      <c r="DI35" s="776"/>
      <c r="DR35" s="819"/>
    </row>
    <row r="36" spans="1:122" ht="12.75" customHeight="1">
      <c r="A36" s="857"/>
      <c r="B36" s="798" t="s">
        <v>717</v>
      </c>
      <c r="C36" s="880">
        <v>0.53447679999999997</v>
      </c>
      <c r="D36" s="55" t="s">
        <v>458</v>
      </c>
      <c r="E36" s="780"/>
      <c r="F36" s="780"/>
      <c r="G36" s="839"/>
      <c r="H36" s="773"/>
      <c r="I36" s="836"/>
      <c r="K36" s="1265"/>
      <c r="L36" s="1281" t="s">
        <v>50</v>
      </c>
      <c r="M36" s="1120" t="s">
        <v>158</v>
      </c>
      <c r="N36" s="1121" t="s">
        <v>27</v>
      </c>
      <c r="O36" s="1121" t="s">
        <v>34</v>
      </c>
      <c r="P36" s="70"/>
      <c r="Q36" s="783"/>
      <c r="R36" s="758"/>
      <c r="S36" s="758"/>
      <c r="T36" s="758"/>
      <c r="U36" s="758"/>
      <c r="V36" s="758"/>
      <c r="W36" s="758"/>
      <c r="X36" s="758"/>
      <c r="Y36" s="758"/>
      <c r="Z36" s="758"/>
      <c r="AA36" s="758"/>
      <c r="AB36" s="758"/>
      <c r="AC36" s="1287"/>
      <c r="AD36" s="1287"/>
      <c r="AE36" s="1287"/>
      <c r="AF36" s="1287"/>
      <c r="AG36" s="1287"/>
      <c r="AH36" s="758"/>
      <c r="AI36" s="914"/>
      <c r="AJ36" s="768"/>
      <c r="AK36" s="753"/>
      <c r="AL36" s="753"/>
      <c r="AM36" s="753"/>
      <c r="AN36" s="758"/>
      <c r="AO36" s="758"/>
      <c r="AP36" s="1416" t="s">
        <v>718</v>
      </c>
      <c r="AQ36" s="1417"/>
      <c r="AR36" s="1417"/>
      <c r="AS36" s="1417"/>
      <c r="AT36" s="1418"/>
      <c r="AU36" s="664">
        <v>3</v>
      </c>
      <c r="AV36" s="664">
        <v>1.75</v>
      </c>
      <c r="AW36" s="664">
        <v>3</v>
      </c>
      <c r="AX36" s="665" t="s">
        <v>110</v>
      </c>
      <c r="AY36" s="665" t="s">
        <v>110</v>
      </c>
      <c r="AZ36" s="665" t="s">
        <v>110</v>
      </c>
      <c r="BA36" s="665" t="s">
        <v>110</v>
      </c>
      <c r="BB36" s="665" t="s">
        <v>110</v>
      </c>
      <c r="CI36" s="753"/>
      <c r="CJ36" s="753"/>
      <c r="CK36" s="753"/>
      <c r="CL36" s="753"/>
      <c r="CM36" s="753"/>
      <c r="CN36" s="753"/>
      <c r="CO36" s="753"/>
      <c r="CP36" s="753"/>
      <c r="CQ36" s="753"/>
      <c r="CR36" s="753"/>
      <c r="CS36" s="753"/>
      <c r="CT36" s="753"/>
      <c r="CU36" s="753"/>
      <c r="CV36" s="753"/>
      <c r="CW36" s="753"/>
      <c r="CX36" s="753"/>
      <c r="CY36" s="753"/>
      <c r="CZ36" s="753"/>
      <c r="DA36" s="753"/>
      <c r="DB36" s="753"/>
      <c r="DC36" s="753"/>
      <c r="DD36" s="753"/>
      <c r="DE36" s="753"/>
      <c r="DF36" s="753"/>
      <c r="DG36" s="753"/>
      <c r="DH36" s="776"/>
      <c r="DI36" s="776"/>
      <c r="DR36" s="819"/>
    </row>
    <row r="37" spans="1:122" ht="12.75" customHeight="1">
      <c r="A37" s="854"/>
      <c r="B37" s="798" t="s">
        <v>719</v>
      </c>
      <c r="C37" s="881">
        <v>0.25185599999999997</v>
      </c>
      <c r="D37" s="55" t="s">
        <v>459</v>
      </c>
      <c r="E37" s="780"/>
      <c r="F37" s="837"/>
      <c r="G37" s="804"/>
      <c r="H37" s="773"/>
      <c r="I37" s="836"/>
      <c r="K37" s="1265"/>
      <c r="L37" s="1306" t="s">
        <v>53</v>
      </c>
      <c r="M37" s="882" t="s">
        <v>29</v>
      </c>
      <c r="N37" s="882" t="s">
        <v>29</v>
      </c>
      <c r="O37" s="882" t="s">
        <v>29</v>
      </c>
      <c r="P37" s="70"/>
      <c r="Q37" s="783"/>
      <c r="R37" s="758"/>
      <c r="S37" s="758"/>
      <c r="T37" s="758"/>
      <c r="U37" s="758"/>
      <c r="V37" s="758"/>
      <c r="W37" s="758"/>
      <c r="X37" s="758"/>
      <c r="Y37" s="758"/>
      <c r="Z37" s="758"/>
      <c r="AA37" s="758"/>
      <c r="AB37" s="758"/>
      <c r="AC37" s="1287"/>
      <c r="AD37" s="1287"/>
      <c r="AE37" s="1287"/>
      <c r="AF37" s="1287"/>
      <c r="AG37" s="1287"/>
      <c r="AH37" s="758"/>
      <c r="AI37" s="753"/>
      <c r="AJ37" s="753"/>
      <c r="AK37" s="753"/>
      <c r="AL37" s="753"/>
      <c r="AM37" s="753"/>
      <c r="AN37" s="758"/>
      <c r="AO37" s="758"/>
      <c r="AP37" s="1416" t="s">
        <v>720</v>
      </c>
      <c r="AQ37" s="1417"/>
      <c r="AR37" s="1417"/>
      <c r="AS37" s="1417"/>
      <c r="AT37" s="1418"/>
      <c r="AU37" s="707">
        <v>3</v>
      </c>
      <c r="AV37" s="707">
        <v>2</v>
      </c>
      <c r="AW37" s="707">
        <v>2.5</v>
      </c>
      <c r="AX37" s="615" t="s">
        <v>110</v>
      </c>
      <c r="AY37" s="615" t="s">
        <v>110</v>
      </c>
      <c r="AZ37" s="615" t="s">
        <v>110</v>
      </c>
      <c r="BA37" s="707">
        <v>50</v>
      </c>
      <c r="BB37" s="707">
        <v>50</v>
      </c>
      <c r="CI37" s="753"/>
      <c r="CJ37" s="753"/>
      <c r="CK37" s="753"/>
      <c r="CL37" s="753"/>
      <c r="CM37" s="753"/>
      <c r="CN37" s="753"/>
      <c r="CO37" s="753"/>
      <c r="CP37" s="753"/>
      <c r="CQ37" s="753"/>
      <c r="CR37" s="753"/>
      <c r="CS37" s="753"/>
      <c r="CT37" s="753"/>
      <c r="CU37" s="753"/>
      <c r="CV37" s="753"/>
      <c r="CW37" s="753"/>
      <c r="CX37" s="753"/>
      <c r="CY37" s="753"/>
      <c r="CZ37" s="753"/>
      <c r="DA37" s="753"/>
      <c r="DB37" s="753"/>
      <c r="DC37" s="753"/>
      <c r="DD37" s="753"/>
      <c r="DE37" s="753"/>
      <c r="DF37" s="753"/>
      <c r="DG37" s="753"/>
      <c r="DH37" s="776"/>
      <c r="DI37" s="776"/>
      <c r="DR37" s="819"/>
    </row>
    <row r="38" spans="1:122" ht="12.75" customHeight="1">
      <c r="A38" s="857"/>
      <c r="B38" s="780"/>
      <c r="C38" s="780"/>
      <c r="D38" s="55"/>
      <c r="E38" s="780"/>
      <c r="F38" s="780"/>
      <c r="G38" s="780"/>
      <c r="H38" s="840"/>
      <c r="I38" s="829"/>
      <c r="K38" s="1265"/>
      <c r="L38" s="883" t="s">
        <v>369</v>
      </c>
      <c r="M38" s="883" t="s">
        <v>31</v>
      </c>
      <c r="N38" s="883" t="s">
        <v>31</v>
      </c>
      <c r="O38" s="883" t="s">
        <v>33</v>
      </c>
      <c r="P38" s="70"/>
      <c r="Q38" s="758"/>
      <c r="R38" s="758"/>
      <c r="S38" s="758"/>
      <c r="T38" s="1294"/>
      <c r="U38" s="1294"/>
      <c r="V38" s="1287"/>
      <c r="W38" s="1287"/>
      <c r="X38" s="1287"/>
      <c r="Y38" s="1287"/>
      <c r="Z38" s="1287"/>
      <c r="AA38" s="1287"/>
      <c r="AB38" s="1287"/>
      <c r="AC38" s="1287"/>
      <c r="AD38" s="1287"/>
      <c r="AE38" s="1287"/>
      <c r="AF38" s="1287"/>
      <c r="AG38" s="1287"/>
      <c r="AH38" s="758"/>
      <c r="AI38" s="767"/>
      <c r="AJ38" s="769"/>
      <c r="AK38" s="753"/>
      <c r="AL38" s="753"/>
      <c r="AM38" s="753"/>
      <c r="AN38" s="758"/>
      <c r="AO38" s="758"/>
      <c r="AP38" s="1416" t="s">
        <v>721</v>
      </c>
      <c r="AQ38" s="1417"/>
      <c r="AR38" s="1417"/>
      <c r="AS38" s="1417"/>
      <c r="AT38" s="1418"/>
      <c r="AU38" s="608">
        <v>1.25</v>
      </c>
      <c r="AV38" s="707">
        <v>2</v>
      </c>
      <c r="AW38" s="707">
        <v>1.5</v>
      </c>
      <c r="AX38" s="615" t="s">
        <v>110</v>
      </c>
      <c r="AY38" s="615" t="s">
        <v>110</v>
      </c>
      <c r="AZ38" s="707">
        <v>50</v>
      </c>
      <c r="BA38" s="707">
        <v>50</v>
      </c>
      <c r="BB38" s="707">
        <v>50</v>
      </c>
      <c r="CI38" s="753"/>
      <c r="CJ38" s="753"/>
      <c r="CK38" s="753"/>
      <c r="CL38" s="753"/>
      <c r="CM38" s="753"/>
      <c r="CN38" s="753"/>
      <c r="CO38" s="753"/>
      <c r="CP38" s="753"/>
      <c r="CQ38" s="753"/>
      <c r="CR38" s="753"/>
      <c r="CS38" s="753"/>
      <c r="CT38" s="753"/>
      <c r="CU38" s="753"/>
      <c r="CV38" s="753"/>
      <c r="CW38" s="753"/>
      <c r="CX38" s="753"/>
      <c r="CY38" s="753"/>
      <c r="CZ38" s="753"/>
      <c r="DA38" s="753"/>
      <c r="DB38" s="753"/>
      <c r="DC38" s="753"/>
      <c r="DD38" s="753"/>
      <c r="DE38" s="753"/>
      <c r="DF38" s="753"/>
      <c r="DG38" s="753"/>
      <c r="DH38" s="776"/>
      <c r="DI38" s="776"/>
      <c r="DR38" s="819"/>
    </row>
    <row r="39" spans="1:122" ht="12.75" customHeight="1">
      <c r="A39" s="854" t="s">
        <v>80</v>
      </c>
      <c r="B39" s="780"/>
      <c r="C39" s="788"/>
      <c r="D39" s="81"/>
      <c r="E39" s="780"/>
      <c r="F39" s="753"/>
      <c r="G39" s="804"/>
      <c r="H39" s="840"/>
      <c r="I39" s="829"/>
      <c r="J39" s="100" t="s">
        <v>25</v>
      </c>
      <c r="K39" s="1265"/>
      <c r="L39" s="883" t="s">
        <v>372</v>
      </c>
      <c r="M39" s="883" t="s">
        <v>33</v>
      </c>
      <c r="N39" s="883" t="s">
        <v>33</v>
      </c>
      <c r="O39" s="883" t="s">
        <v>32</v>
      </c>
      <c r="P39" s="70"/>
      <c r="Q39" s="758"/>
      <c r="R39" s="758"/>
      <c r="S39" s="758"/>
      <c r="T39" s="1294"/>
      <c r="U39" s="1294"/>
      <c r="V39" s="1287"/>
      <c r="W39" s="1287"/>
      <c r="X39" s="1287"/>
      <c r="Y39" s="1287"/>
      <c r="Z39" s="1287"/>
      <c r="AA39" s="1287"/>
      <c r="AB39" s="1287"/>
      <c r="AC39" s="1287"/>
      <c r="AD39" s="1287"/>
      <c r="AE39" s="1287"/>
      <c r="AF39" s="1287"/>
      <c r="AG39" s="1287"/>
      <c r="AH39" s="758"/>
      <c r="AI39" s="767"/>
      <c r="AJ39" s="768"/>
      <c r="AK39" s="915"/>
      <c r="AL39" s="753"/>
      <c r="AM39" s="753"/>
      <c r="AN39" s="758"/>
      <c r="AO39" s="758"/>
      <c r="AP39" s="1416" t="s">
        <v>722</v>
      </c>
      <c r="AQ39" s="1417"/>
      <c r="AR39" s="1417"/>
      <c r="AS39" s="1417"/>
      <c r="AT39" s="1418"/>
      <c r="AU39" s="708">
        <v>3</v>
      </c>
      <c r="AV39" s="709">
        <v>2</v>
      </c>
      <c r="AW39" s="709">
        <v>2.5</v>
      </c>
      <c r="AX39" s="710" t="s">
        <v>110</v>
      </c>
      <c r="AY39" s="710" t="s">
        <v>110</v>
      </c>
      <c r="AZ39" s="710" t="s">
        <v>110</v>
      </c>
      <c r="BA39" s="710" t="s">
        <v>110</v>
      </c>
      <c r="BB39" s="710" t="s">
        <v>110</v>
      </c>
      <c r="CI39" s="753"/>
      <c r="CJ39" s="753"/>
      <c r="CK39" s="753"/>
      <c r="CL39" s="753"/>
      <c r="CM39" s="753"/>
      <c r="CN39" s="753"/>
      <c r="CO39" s="753"/>
      <c r="CP39" s="753"/>
      <c r="CQ39" s="753"/>
      <c r="CR39" s="753"/>
      <c r="CS39" s="753"/>
      <c r="CT39" s="753"/>
      <c r="CU39" s="753"/>
      <c r="CV39" s="753"/>
      <c r="CW39" s="753"/>
      <c r="CX39" s="753"/>
      <c r="CY39" s="753"/>
      <c r="CZ39" s="753"/>
      <c r="DA39" s="753"/>
      <c r="DB39" s="753"/>
      <c r="DC39" s="753"/>
      <c r="DD39" s="753"/>
      <c r="DE39" s="753"/>
      <c r="DF39" s="753"/>
      <c r="DG39" s="753"/>
      <c r="DH39" s="776"/>
      <c r="DI39" s="776"/>
    </row>
    <row r="40" spans="1:122" ht="12.75" customHeight="1">
      <c r="A40" s="857"/>
      <c r="B40" s="798" t="s">
        <v>723</v>
      </c>
      <c r="C40" s="880">
        <v>0.35631786666666665</v>
      </c>
      <c r="D40" s="55" t="s">
        <v>460</v>
      </c>
      <c r="E40" s="780"/>
      <c r="F40" s="780"/>
      <c r="G40" s="804"/>
      <c r="H40" s="773"/>
      <c r="I40" s="836"/>
      <c r="J40" s="100" t="s">
        <v>25</v>
      </c>
      <c r="K40" s="1265"/>
      <c r="L40" s="884" t="s">
        <v>373</v>
      </c>
      <c r="M40" s="884" t="s">
        <v>32</v>
      </c>
      <c r="N40" s="884" t="s">
        <v>32</v>
      </c>
      <c r="O40" s="884" t="s">
        <v>32</v>
      </c>
      <c r="P40" s="47" t="s">
        <v>147</v>
      </c>
      <c r="Q40" s="758"/>
      <c r="R40" s="758"/>
      <c r="S40" s="758"/>
      <c r="T40" s="1294"/>
      <c r="U40" s="1294"/>
      <c r="V40" s="1287"/>
      <c r="W40" s="1287"/>
      <c r="X40" s="1287"/>
      <c r="Y40" s="1287"/>
      <c r="Z40" s="1287"/>
      <c r="AA40" s="1287"/>
      <c r="AB40" s="1287"/>
      <c r="AC40" s="1287"/>
      <c r="AD40" s="1287"/>
      <c r="AE40" s="1287"/>
      <c r="AF40" s="1287"/>
      <c r="AG40" s="1287"/>
      <c r="AH40" s="758"/>
      <c r="AI40" s="767"/>
      <c r="AJ40" s="768"/>
      <c r="AK40" s="915"/>
      <c r="AL40" s="753"/>
      <c r="AM40" s="753"/>
      <c r="AN40" s="758"/>
      <c r="AO40" s="758"/>
      <c r="AP40" s="1416" t="s">
        <v>724</v>
      </c>
      <c r="AQ40" s="1417"/>
      <c r="AR40" s="1417"/>
      <c r="AS40" s="1417"/>
      <c r="AT40" s="1418"/>
      <c r="AU40" s="707">
        <v>3</v>
      </c>
      <c r="AV40" s="707">
        <v>2</v>
      </c>
      <c r="AW40" s="707">
        <v>2.5</v>
      </c>
      <c r="AX40" s="615" t="s">
        <v>110</v>
      </c>
      <c r="AY40" s="615" t="s">
        <v>110</v>
      </c>
      <c r="AZ40" s="615" t="s">
        <v>110</v>
      </c>
      <c r="BA40" s="615" t="s">
        <v>110</v>
      </c>
      <c r="BB40" s="615" t="s">
        <v>110</v>
      </c>
      <c r="CI40" s="753"/>
      <c r="CJ40" s="753"/>
      <c r="CK40" s="753"/>
      <c r="CL40" s="753"/>
      <c r="CM40" s="753"/>
      <c r="CN40" s="753"/>
      <c r="CO40" s="753"/>
      <c r="CP40" s="753"/>
      <c r="CQ40" s="753"/>
      <c r="CR40" s="753"/>
      <c r="CS40" s="753"/>
      <c r="CT40" s="753"/>
      <c r="CU40" s="753"/>
      <c r="CV40" s="753"/>
      <c r="CW40" s="753"/>
      <c r="CX40" s="753"/>
      <c r="CY40" s="753"/>
      <c r="CZ40" s="753"/>
      <c r="DA40" s="753"/>
      <c r="DB40" s="753"/>
      <c r="DC40" s="753"/>
      <c r="DD40" s="753"/>
      <c r="DE40" s="753"/>
      <c r="DF40" s="753"/>
      <c r="DG40" s="753"/>
      <c r="DH40" s="776"/>
      <c r="DI40" s="776"/>
    </row>
    <row r="41" spans="1:122" ht="12.75" customHeight="1">
      <c r="A41" s="854"/>
      <c r="B41" s="798" t="s">
        <v>725</v>
      </c>
      <c r="C41" s="881">
        <v>0.16790399999999997</v>
      </c>
      <c r="D41" s="55" t="s">
        <v>461</v>
      </c>
      <c r="E41" s="780"/>
      <c r="F41" s="780"/>
      <c r="G41" s="780"/>
      <c r="H41" s="780"/>
      <c r="I41" s="829"/>
      <c r="J41" s="100" t="s">
        <v>25</v>
      </c>
      <c r="K41" s="1265"/>
      <c r="L41" s="778" t="s">
        <v>56</v>
      </c>
      <c r="M41" s="769" t="s">
        <v>33</v>
      </c>
      <c r="N41" s="769" t="s">
        <v>707</v>
      </c>
      <c r="O41" s="769" t="s">
        <v>707</v>
      </c>
      <c r="P41" s="126">
        <f>IF($C$45="A",1,IF($C$45="B",2,IF($C$45="C",3,IF($C$45="D",4,IF($C$45="E",5,IF($C$45="F",6))))))</f>
        <v>3</v>
      </c>
      <c r="Q41" s="758"/>
      <c r="R41" s="758"/>
      <c r="S41" s="758"/>
      <c r="T41" s="1294"/>
      <c r="U41" s="1294"/>
      <c r="V41" s="1287"/>
      <c r="W41" s="1287"/>
      <c r="X41" s="1287"/>
      <c r="Y41" s="1287"/>
      <c r="Z41" s="1287"/>
      <c r="AA41" s="1287"/>
      <c r="AB41" s="1287"/>
      <c r="AC41" s="1287"/>
      <c r="AD41" s="1287"/>
      <c r="AE41" s="1287"/>
      <c r="AF41" s="1287"/>
      <c r="AG41" s="1287"/>
      <c r="AH41" s="758"/>
      <c r="AI41" s="770"/>
      <c r="AJ41" s="753"/>
      <c r="AK41" s="753"/>
      <c r="AL41" s="753"/>
      <c r="AM41" s="753"/>
      <c r="AN41" s="758"/>
      <c r="AO41" s="758"/>
      <c r="AP41" s="1423" t="s">
        <v>726</v>
      </c>
      <c r="AQ41" s="1411"/>
      <c r="AR41" s="1411"/>
      <c r="AS41" s="1411"/>
      <c r="AT41" s="1412"/>
      <c r="AU41" s="667">
        <v>3.5</v>
      </c>
      <c r="AV41" s="667">
        <v>1.75</v>
      </c>
      <c r="AW41" s="667">
        <v>3</v>
      </c>
      <c r="AX41" s="653" t="s">
        <v>110</v>
      </c>
      <c r="AY41" s="653" t="s">
        <v>110</v>
      </c>
      <c r="AZ41" s="653" t="s">
        <v>110</v>
      </c>
      <c r="BA41" s="653" t="s">
        <v>110</v>
      </c>
      <c r="BB41" s="653" t="s">
        <v>110</v>
      </c>
      <c r="CI41" s="753"/>
      <c r="CJ41" s="753"/>
      <c r="CK41" s="753"/>
      <c r="CL41" s="753"/>
      <c r="CM41" s="753"/>
      <c r="CN41" s="753"/>
      <c r="CO41" s="753"/>
      <c r="CP41" s="753"/>
      <c r="CQ41" s="753"/>
      <c r="CR41" s="753"/>
      <c r="CS41" s="753"/>
      <c r="CT41" s="753"/>
      <c r="CU41" s="753"/>
      <c r="CV41" s="753"/>
      <c r="CW41" s="753"/>
      <c r="CX41" s="753"/>
      <c r="CY41" s="753"/>
      <c r="CZ41" s="753"/>
      <c r="DA41" s="753"/>
      <c r="DB41" s="753"/>
      <c r="DC41" s="753"/>
      <c r="DD41" s="753"/>
      <c r="DE41" s="753"/>
      <c r="DF41" s="753"/>
      <c r="DG41" s="753"/>
      <c r="DH41" s="776"/>
      <c r="DI41" s="776"/>
    </row>
    <row r="42" spans="1:122" ht="12.75" customHeight="1">
      <c r="A42" s="857"/>
      <c r="B42" s="780"/>
      <c r="C42" s="780"/>
      <c r="D42" s="833"/>
      <c r="E42" s="839"/>
      <c r="F42" s="780"/>
      <c r="G42" s="780"/>
      <c r="H42" s="773"/>
      <c r="I42" s="829"/>
      <c r="J42" s="711"/>
      <c r="K42" s="1265"/>
      <c r="L42" s="758"/>
      <c r="M42" s="758"/>
      <c r="N42" s="778"/>
      <c r="O42" s="776" t="s">
        <v>161</v>
      </c>
      <c r="P42" s="126">
        <f>MAX($P$32,$P$41)</f>
        <v>3</v>
      </c>
      <c r="Q42" s="758"/>
      <c r="R42" s="758"/>
      <c r="S42" s="758"/>
      <c r="T42" s="1294"/>
      <c r="U42" s="1294"/>
      <c r="V42" s="1287"/>
      <c r="W42" s="1287"/>
      <c r="X42" s="1287"/>
      <c r="Y42" s="1287"/>
      <c r="Z42" s="1287"/>
      <c r="AA42" s="1287"/>
      <c r="AB42" s="1287"/>
      <c r="AC42" s="1287"/>
      <c r="AD42" s="1287"/>
      <c r="AE42" s="1287"/>
      <c r="AF42" s="1287"/>
      <c r="AG42" s="1287"/>
      <c r="AH42" s="758"/>
      <c r="AI42" s="767"/>
      <c r="AJ42" s="768"/>
      <c r="AK42" s="753"/>
      <c r="AL42" s="753"/>
      <c r="AM42" s="753"/>
      <c r="AN42" s="758"/>
      <c r="AO42" s="758"/>
      <c r="AP42" s="1424" t="s">
        <v>727</v>
      </c>
      <c r="AQ42" s="1414"/>
      <c r="AR42" s="1414"/>
      <c r="AS42" s="1414"/>
      <c r="AT42" s="1415"/>
      <c r="AU42" s="712">
        <v>3.5</v>
      </c>
      <c r="AV42" s="712">
        <v>3</v>
      </c>
      <c r="AW42" s="712">
        <v>3</v>
      </c>
      <c r="AX42" s="662" t="s">
        <v>110</v>
      </c>
      <c r="AY42" s="662" t="s">
        <v>110</v>
      </c>
      <c r="AZ42" s="662" t="s">
        <v>110</v>
      </c>
      <c r="BA42" s="713">
        <v>50</v>
      </c>
      <c r="BB42" s="713">
        <v>50</v>
      </c>
      <c r="CI42" s="753"/>
      <c r="CJ42" s="753"/>
      <c r="CK42" s="753"/>
      <c r="CL42" s="753"/>
      <c r="CM42" s="753"/>
      <c r="CN42" s="753"/>
      <c r="CO42" s="753"/>
      <c r="CP42" s="753"/>
      <c r="CQ42" s="753"/>
      <c r="CR42" s="753"/>
      <c r="CS42" s="753"/>
      <c r="CT42" s="753"/>
      <c r="CU42" s="753"/>
      <c r="CV42" s="753"/>
      <c r="CW42" s="753"/>
      <c r="CX42" s="753"/>
      <c r="CY42" s="753"/>
      <c r="CZ42" s="753"/>
      <c r="DA42" s="753"/>
      <c r="DB42" s="753"/>
      <c r="DC42" s="753"/>
      <c r="DD42" s="753"/>
      <c r="DE42" s="753"/>
      <c r="DF42" s="753"/>
      <c r="DG42" s="753"/>
      <c r="DH42" s="776"/>
      <c r="DI42" s="776"/>
    </row>
    <row r="43" spans="1:122" ht="12.75" customHeight="1">
      <c r="A43" s="854" t="s">
        <v>58</v>
      </c>
      <c r="B43" s="780"/>
      <c r="C43" s="788"/>
      <c r="D43" s="833"/>
      <c r="E43" s="798"/>
      <c r="F43" s="780"/>
      <c r="G43" s="753"/>
      <c r="H43" s="780"/>
      <c r="I43" s="829"/>
      <c r="J43" s="711"/>
      <c r="K43" s="1265"/>
      <c r="L43" s="758"/>
      <c r="M43" s="758"/>
      <c r="N43" s="778"/>
      <c r="O43" s="776" t="s">
        <v>84</v>
      </c>
      <c r="P43" s="126" t="str">
        <f>IF($P$42=1,"A",IF($P$42=2,"B",IF($P$42=3,"C",IF($P$42=4,"D",IF($P$42=5,"E",IF($P$42=6,"F"))))))</f>
        <v>C</v>
      </c>
      <c r="Q43" s="758"/>
      <c r="R43" s="758"/>
      <c r="S43" s="758"/>
      <c r="T43" s="1294"/>
      <c r="U43" s="1294"/>
      <c r="V43" s="1287"/>
      <c r="W43" s="1287"/>
      <c r="X43" s="1287"/>
      <c r="Y43" s="1287"/>
      <c r="Z43" s="1287"/>
      <c r="AA43" s="1287"/>
      <c r="AB43" s="1287"/>
      <c r="AC43" s="1287"/>
      <c r="AD43" s="1287"/>
      <c r="AE43" s="1287"/>
      <c r="AF43" s="1287"/>
      <c r="AG43" s="1287"/>
      <c r="AH43" s="758"/>
      <c r="AI43" s="767"/>
      <c r="AJ43" s="768"/>
      <c r="AK43" s="753"/>
      <c r="AL43" s="753"/>
      <c r="AM43" s="753"/>
      <c r="AN43" s="758"/>
      <c r="AO43" s="758"/>
      <c r="AP43" s="1423" t="s">
        <v>728</v>
      </c>
      <c r="AQ43" s="1411"/>
      <c r="AR43" s="1411"/>
      <c r="AS43" s="1411"/>
      <c r="AT43" s="1412"/>
      <c r="AU43" s="667">
        <v>3</v>
      </c>
      <c r="AV43" s="667">
        <v>1.5</v>
      </c>
      <c r="AW43" s="667">
        <v>3</v>
      </c>
      <c r="AX43" s="668" t="s">
        <v>110</v>
      </c>
      <c r="AY43" s="668" t="s">
        <v>110</v>
      </c>
      <c r="AZ43" s="668" t="s">
        <v>110</v>
      </c>
      <c r="BA43" s="668" t="s">
        <v>110</v>
      </c>
      <c r="BB43" s="668" t="s">
        <v>110</v>
      </c>
      <c r="CI43" s="753"/>
      <c r="CJ43" s="753"/>
      <c r="CK43" s="753"/>
      <c r="CL43" s="753"/>
      <c r="CM43" s="753"/>
      <c r="CN43" s="753"/>
      <c r="CO43" s="753"/>
      <c r="CP43" s="753"/>
      <c r="CQ43" s="753"/>
      <c r="CR43" s="753"/>
      <c r="CS43" s="753"/>
      <c r="CT43" s="753"/>
      <c r="CU43" s="753"/>
      <c r="CV43" s="753"/>
      <c r="CW43" s="753"/>
      <c r="CX43" s="753"/>
      <c r="CY43" s="753"/>
      <c r="CZ43" s="753"/>
      <c r="DA43" s="753"/>
      <c r="DB43" s="753"/>
      <c r="DC43" s="753"/>
      <c r="DD43" s="753"/>
      <c r="DE43" s="753"/>
      <c r="DF43" s="753"/>
      <c r="DG43" s="753"/>
      <c r="DH43" s="776"/>
      <c r="DI43" s="776"/>
    </row>
    <row r="44" spans="1:122" ht="12.75" customHeight="1">
      <c r="A44" s="857"/>
      <c r="B44" s="798" t="s">
        <v>729</v>
      </c>
      <c r="C44" s="882" t="s">
        <v>33</v>
      </c>
      <c r="D44" s="55" t="s">
        <v>464</v>
      </c>
      <c r="E44" s="798"/>
      <c r="F44" s="764"/>
      <c r="G44" s="833"/>
      <c r="H44" s="780"/>
      <c r="I44" s="829"/>
      <c r="J44" s="711"/>
      <c r="K44" s="1265"/>
      <c r="L44" s="758"/>
      <c r="M44" s="758"/>
      <c r="N44" s="758"/>
      <c r="O44" s="778"/>
      <c r="P44" s="758"/>
      <c r="Q44" s="758"/>
      <c r="R44" s="758"/>
      <c r="S44" s="758"/>
      <c r="T44" s="1294"/>
      <c r="U44" s="1294"/>
      <c r="V44" s="1287"/>
      <c r="W44" s="1287"/>
      <c r="X44" s="1287"/>
      <c r="Y44" s="1287"/>
      <c r="Z44" s="1287"/>
      <c r="AA44" s="1287"/>
      <c r="AB44" s="1287"/>
      <c r="AC44" s="1287"/>
      <c r="AD44" s="1287"/>
      <c r="AE44" s="1287"/>
      <c r="AF44" s="1287"/>
      <c r="AG44" s="1287"/>
      <c r="AH44" s="758"/>
      <c r="AI44" s="758"/>
      <c r="AJ44" s="758"/>
      <c r="AK44" s="758"/>
      <c r="AL44" s="758"/>
      <c r="AM44" s="758"/>
      <c r="AN44" s="758"/>
      <c r="AO44" s="758"/>
      <c r="AP44" s="1407" t="s">
        <v>730</v>
      </c>
      <c r="AQ44" s="1408"/>
      <c r="AR44" s="1408"/>
      <c r="AS44" s="1408"/>
      <c r="AT44" s="1409"/>
      <c r="AU44" s="669">
        <v>1.5</v>
      </c>
      <c r="AV44" s="669">
        <v>1.5</v>
      </c>
      <c r="AW44" s="669">
        <v>1.5</v>
      </c>
      <c r="AX44" s="670" t="s">
        <v>110</v>
      </c>
      <c r="AY44" s="670" t="s">
        <v>110</v>
      </c>
      <c r="AZ44" s="670" t="s">
        <v>110</v>
      </c>
      <c r="BA44" s="670" t="s">
        <v>110</v>
      </c>
      <c r="BB44" s="670" t="s">
        <v>110</v>
      </c>
      <c r="CI44" s="753"/>
      <c r="CJ44" s="753"/>
      <c r="CK44" s="753"/>
      <c r="CL44" s="753"/>
      <c r="CM44" s="753"/>
      <c r="CN44" s="753"/>
      <c r="CO44" s="753"/>
      <c r="CP44" s="753"/>
      <c r="CQ44" s="753"/>
      <c r="CR44" s="753"/>
      <c r="CS44" s="753"/>
      <c r="CT44" s="753"/>
      <c r="CU44" s="753"/>
      <c r="CV44" s="753"/>
      <c r="CW44" s="753"/>
      <c r="CX44" s="753"/>
      <c r="CY44" s="753"/>
      <c r="CZ44" s="753"/>
      <c r="DA44" s="753"/>
      <c r="DB44" s="753"/>
      <c r="DC44" s="753"/>
      <c r="DD44" s="753"/>
      <c r="DE44" s="753"/>
      <c r="DF44" s="753"/>
      <c r="DG44" s="753"/>
      <c r="DH44" s="776"/>
      <c r="DI44" s="758"/>
      <c r="DR44" s="819"/>
    </row>
    <row r="45" spans="1:122" ht="12.75" customHeight="1">
      <c r="A45" s="854"/>
      <c r="B45" s="798" t="s">
        <v>731</v>
      </c>
      <c r="C45" s="883" t="s">
        <v>33</v>
      </c>
      <c r="D45" s="55" t="s">
        <v>465</v>
      </c>
      <c r="E45" s="798"/>
      <c r="F45" s="780"/>
      <c r="G45" s="780"/>
      <c r="H45" s="753"/>
      <c r="I45" s="834"/>
      <c r="J45" s="100" t="s">
        <v>25</v>
      </c>
      <c r="K45" s="1265"/>
      <c r="L45" s="758"/>
      <c r="M45" s="758"/>
      <c r="N45" s="758"/>
      <c r="O45" s="778"/>
      <c r="P45" s="758"/>
      <c r="Q45" s="758"/>
      <c r="R45" s="758"/>
      <c r="S45" s="758"/>
      <c r="T45" s="1294"/>
      <c r="U45" s="1294"/>
      <c r="V45" s="1287"/>
      <c r="W45" s="1287"/>
      <c r="X45" s="1287"/>
      <c r="Y45" s="1287"/>
      <c r="Z45" s="1287"/>
      <c r="AA45" s="1287"/>
      <c r="AB45" s="1287"/>
      <c r="AC45" s="1287"/>
      <c r="AD45" s="1287"/>
      <c r="AE45" s="1287"/>
      <c r="AF45" s="1287"/>
      <c r="AG45" s="1287"/>
      <c r="AH45" s="758"/>
      <c r="AI45" s="758"/>
      <c r="AJ45" s="758"/>
      <c r="AK45" s="758"/>
      <c r="AL45" s="758"/>
      <c r="AM45" s="758"/>
      <c r="AN45" s="758"/>
      <c r="AO45" s="758"/>
      <c r="AP45" s="1407" t="s">
        <v>732</v>
      </c>
      <c r="AQ45" s="1408"/>
      <c r="AR45" s="1408"/>
      <c r="AS45" s="1408"/>
      <c r="AT45" s="1409"/>
      <c r="AU45" s="596">
        <v>1.5</v>
      </c>
      <c r="AV45" s="596">
        <v>1.5</v>
      </c>
      <c r="AW45" s="596">
        <v>1.5</v>
      </c>
      <c r="AX45" s="594" t="s">
        <v>110</v>
      </c>
      <c r="AY45" s="594" t="s">
        <v>110</v>
      </c>
      <c r="AZ45" s="594" t="s">
        <v>110</v>
      </c>
      <c r="BA45" s="594" t="s">
        <v>110</v>
      </c>
      <c r="BB45" s="594" t="s">
        <v>110</v>
      </c>
      <c r="CI45" s="753"/>
      <c r="CJ45" s="753"/>
      <c r="CK45" s="753"/>
      <c r="CL45" s="753"/>
      <c r="CM45" s="753"/>
      <c r="CN45" s="753"/>
      <c r="CO45" s="753"/>
      <c r="CP45" s="753"/>
      <c r="CQ45" s="753"/>
      <c r="CR45" s="753"/>
      <c r="CS45" s="753"/>
      <c r="CT45" s="753"/>
      <c r="CU45" s="753"/>
      <c r="CV45" s="753"/>
      <c r="CW45" s="753"/>
      <c r="CX45" s="753"/>
      <c r="CY45" s="753"/>
      <c r="CZ45" s="753"/>
      <c r="DA45" s="753"/>
      <c r="DB45" s="753"/>
      <c r="DC45" s="753"/>
      <c r="DD45" s="753"/>
      <c r="DE45" s="753"/>
      <c r="DF45" s="753"/>
      <c r="DG45" s="753"/>
      <c r="DH45" s="776"/>
      <c r="DI45" s="758"/>
      <c r="DR45" s="819"/>
    </row>
    <row r="46" spans="1:122" ht="12.75" customHeight="1">
      <c r="A46" s="857"/>
      <c r="B46" s="798" t="s">
        <v>85</v>
      </c>
      <c r="C46" s="884" t="s">
        <v>33</v>
      </c>
      <c r="D46" s="55" t="s">
        <v>86</v>
      </c>
      <c r="E46" s="780"/>
      <c r="F46" s="764"/>
      <c r="G46" s="780"/>
      <c r="H46" s="780"/>
      <c r="I46" s="836"/>
      <c r="J46" s="100" t="s">
        <v>25</v>
      </c>
      <c r="K46" s="1265"/>
      <c r="L46" s="111" t="s">
        <v>466</v>
      </c>
      <c r="M46" s="1297"/>
      <c r="N46" s="1297"/>
      <c r="O46" s="1298"/>
      <c r="P46" s="758"/>
      <c r="Q46" s="758"/>
      <c r="R46" s="758"/>
      <c r="S46" s="758"/>
      <c r="T46" s="1294"/>
      <c r="U46" s="1294"/>
      <c r="V46" s="1287"/>
      <c r="W46" s="1287"/>
      <c r="X46" s="1287"/>
      <c r="Y46" s="1287"/>
      <c r="Z46" s="1287"/>
      <c r="AA46" s="1287"/>
      <c r="AB46" s="1287"/>
      <c r="AC46" s="1287"/>
      <c r="AD46" s="1287"/>
      <c r="AE46" s="1287"/>
      <c r="AF46" s="1287"/>
      <c r="AG46" s="1287"/>
      <c r="AH46" s="758"/>
      <c r="AI46" s="758"/>
      <c r="AJ46" s="758"/>
      <c r="AK46" s="758"/>
      <c r="AL46" s="758"/>
      <c r="AM46" s="758"/>
      <c r="AN46" s="758"/>
      <c r="AO46" s="758"/>
      <c r="AP46" s="1407" t="s">
        <v>733</v>
      </c>
      <c r="AQ46" s="1408"/>
      <c r="AR46" s="1408"/>
      <c r="AS46" s="1408"/>
      <c r="AT46" s="1409"/>
      <c r="AU46" s="596">
        <v>1.5</v>
      </c>
      <c r="AV46" s="596">
        <v>1.5</v>
      </c>
      <c r="AW46" s="596">
        <v>1.5</v>
      </c>
      <c r="AX46" s="594" t="s">
        <v>110</v>
      </c>
      <c r="AY46" s="594" t="s">
        <v>110</v>
      </c>
      <c r="AZ46" s="594" t="s">
        <v>110</v>
      </c>
      <c r="BA46" s="594" t="s">
        <v>110</v>
      </c>
      <c r="BB46" s="594" t="s">
        <v>110</v>
      </c>
      <c r="CI46" s="753"/>
      <c r="CJ46" s="753"/>
      <c r="CK46" s="753"/>
      <c r="CL46" s="753"/>
      <c r="CM46" s="753"/>
      <c r="CN46" s="753"/>
      <c r="CO46" s="753"/>
      <c r="CP46" s="753"/>
      <c r="CQ46" s="753"/>
      <c r="CR46" s="753"/>
      <c r="CS46" s="753"/>
      <c r="CT46" s="753"/>
      <c r="CU46" s="753"/>
      <c r="CV46" s="753"/>
      <c r="CW46" s="753"/>
      <c r="CX46" s="753"/>
      <c r="CY46" s="753"/>
      <c r="CZ46" s="753"/>
      <c r="DA46" s="753"/>
      <c r="DB46" s="753"/>
      <c r="DC46" s="753"/>
      <c r="DD46" s="753"/>
      <c r="DE46" s="753"/>
      <c r="DF46" s="753"/>
      <c r="DG46" s="753"/>
      <c r="DH46" s="776"/>
      <c r="DI46" s="758"/>
      <c r="DR46" s="819"/>
    </row>
    <row r="47" spans="1:122" ht="12.75" customHeight="1">
      <c r="A47" s="857"/>
      <c r="B47" s="780"/>
      <c r="C47" s="780"/>
      <c r="D47" s="780"/>
      <c r="E47" s="780"/>
      <c r="F47" s="780"/>
      <c r="G47" s="780"/>
      <c r="H47" s="780"/>
      <c r="I47" s="829"/>
      <c r="J47" s="100" t="s">
        <v>25</v>
      </c>
      <c r="K47" s="1265"/>
      <c r="L47" s="1296" t="s">
        <v>160</v>
      </c>
      <c r="M47" s="1297"/>
      <c r="N47" s="1297"/>
      <c r="O47" s="1298"/>
      <c r="P47" s="758"/>
      <c r="Q47" s="758"/>
      <c r="R47" s="758"/>
      <c r="S47" s="758"/>
      <c r="T47" s="1294"/>
      <c r="U47" s="1294"/>
      <c r="V47" s="1287"/>
      <c r="W47" s="1287"/>
      <c r="X47" s="1287"/>
      <c r="Y47" s="1287"/>
      <c r="Z47" s="1287"/>
      <c r="AA47" s="1287"/>
      <c r="AB47" s="1287"/>
      <c r="AC47" s="1287"/>
      <c r="AD47" s="1287"/>
      <c r="AE47" s="1287"/>
      <c r="AF47" s="1287"/>
      <c r="AG47" s="1287"/>
      <c r="AH47" s="758"/>
      <c r="AI47" s="758"/>
      <c r="AJ47" s="758"/>
      <c r="AK47" s="758"/>
      <c r="AL47" s="758"/>
      <c r="AM47" s="758"/>
      <c r="AN47" s="758"/>
      <c r="AO47" s="758"/>
      <c r="AP47" s="1407" t="s">
        <v>734</v>
      </c>
      <c r="AQ47" s="1408"/>
      <c r="AR47" s="1408"/>
      <c r="AS47" s="1408"/>
      <c r="AT47" s="1409"/>
      <c r="AU47" s="596">
        <v>3</v>
      </c>
      <c r="AV47" s="596">
        <v>1.5</v>
      </c>
      <c r="AW47" s="596">
        <v>1.5</v>
      </c>
      <c r="AX47" s="594" t="s">
        <v>110</v>
      </c>
      <c r="AY47" s="594" t="s">
        <v>110</v>
      </c>
      <c r="AZ47" s="594" t="s">
        <v>110</v>
      </c>
      <c r="BA47" s="594" t="s">
        <v>110</v>
      </c>
      <c r="BB47" s="594" t="s">
        <v>110</v>
      </c>
      <c r="CI47" s="753"/>
      <c r="CJ47" s="753"/>
      <c r="CK47" s="753"/>
      <c r="CL47" s="753"/>
      <c r="CM47" s="753"/>
      <c r="CN47" s="753"/>
      <c r="CO47" s="753"/>
      <c r="CP47" s="753"/>
      <c r="CQ47" s="753"/>
      <c r="CR47" s="753"/>
      <c r="CS47" s="753"/>
      <c r="CT47" s="753"/>
      <c r="CU47" s="753"/>
      <c r="CV47" s="753"/>
      <c r="CW47" s="753"/>
      <c r="CX47" s="753"/>
      <c r="CY47" s="753"/>
      <c r="CZ47" s="753"/>
      <c r="DA47" s="753"/>
      <c r="DB47" s="753"/>
      <c r="DC47" s="753"/>
      <c r="DD47" s="753"/>
      <c r="DE47" s="753"/>
      <c r="DF47" s="753"/>
      <c r="DG47" s="753"/>
      <c r="DH47" s="776"/>
      <c r="DI47" s="758"/>
      <c r="DM47" s="753"/>
      <c r="DN47" s="778"/>
      <c r="DO47" s="770"/>
      <c r="DR47" s="819"/>
    </row>
    <row r="48" spans="1:122" ht="12.75" customHeight="1">
      <c r="A48" s="854" t="s">
        <v>154</v>
      </c>
      <c r="B48" s="798"/>
      <c r="C48" s="837"/>
      <c r="D48" s="833"/>
      <c r="E48" s="780"/>
      <c r="F48" s="780"/>
      <c r="G48" s="780"/>
      <c r="H48" s="780"/>
      <c r="I48" s="829"/>
      <c r="J48" s="25"/>
      <c r="K48" s="1265"/>
      <c r="L48" s="1268" t="s">
        <v>217</v>
      </c>
      <c r="M48" s="1269"/>
      <c r="N48" s="1270"/>
      <c r="O48" s="1275" t="s">
        <v>218</v>
      </c>
      <c r="P48" s="758"/>
      <c r="Q48" s="758"/>
      <c r="R48" s="758"/>
      <c r="S48" s="758"/>
      <c r="T48" s="1294"/>
      <c r="U48" s="1294"/>
      <c r="V48" s="1287"/>
      <c r="W48" s="1287"/>
      <c r="X48" s="1287"/>
      <c r="Y48" s="1287"/>
      <c r="Z48" s="1287"/>
      <c r="AA48" s="1287"/>
      <c r="AB48" s="1287"/>
      <c r="AC48" s="1287"/>
      <c r="AD48" s="1287"/>
      <c r="AE48" s="1287"/>
      <c r="AF48" s="1287"/>
      <c r="AG48" s="1287"/>
      <c r="AH48" s="758"/>
      <c r="AI48" s="758"/>
      <c r="AJ48" s="758"/>
      <c r="AK48" s="758"/>
      <c r="AL48" s="758"/>
      <c r="AM48" s="758"/>
      <c r="AN48" s="758"/>
      <c r="AO48" s="758"/>
      <c r="AP48" s="1407" t="s">
        <v>735</v>
      </c>
      <c r="AQ48" s="1408"/>
      <c r="AR48" s="1408"/>
      <c r="AS48" s="1408"/>
      <c r="AT48" s="1409"/>
      <c r="AU48" s="596">
        <v>1.5</v>
      </c>
      <c r="AV48" s="596">
        <v>1.5</v>
      </c>
      <c r="AW48" s="596">
        <v>1.5</v>
      </c>
      <c r="AX48" s="594" t="s">
        <v>110</v>
      </c>
      <c r="AY48" s="594" t="s">
        <v>110</v>
      </c>
      <c r="AZ48" s="594" t="s">
        <v>110</v>
      </c>
      <c r="BA48" s="594" t="s">
        <v>110</v>
      </c>
      <c r="BB48" s="594" t="s">
        <v>110</v>
      </c>
      <c r="CI48" s="753"/>
      <c r="CJ48" s="753"/>
      <c r="CK48" s="753"/>
      <c r="CL48" s="753"/>
      <c r="CM48" s="753"/>
      <c r="CN48" s="753"/>
      <c r="CO48" s="753"/>
      <c r="CP48" s="753"/>
      <c r="CQ48" s="753"/>
      <c r="CR48" s="753"/>
      <c r="CS48" s="753"/>
      <c r="CT48" s="753"/>
      <c r="CU48" s="753"/>
      <c r="CV48" s="753"/>
      <c r="CW48" s="753"/>
      <c r="CX48" s="753"/>
      <c r="CY48" s="753"/>
      <c r="CZ48" s="753"/>
      <c r="DA48" s="753"/>
      <c r="DB48" s="753"/>
      <c r="DC48" s="753"/>
      <c r="DD48" s="753"/>
      <c r="DE48" s="753"/>
      <c r="DF48" s="753"/>
      <c r="DG48" s="753"/>
      <c r="DH48" s="776"/>
      <c r="DI48" s="758"/>
      <c r="DM48" s="753"/>
      <c r="DN48" s="778"/>
      <c r="DO48" s="770"/>
      <c r="DR48" s="819"/>
    </row>
    <row r="49" spans="1:122" ht="12.75" customHeight="1">
      <c r="A49" s="857"/>
      <c r="B49" s="798" t="s">
        <v>736</v>
      </c>
      <c r="C49" s="885">
        <v>4.2124987397030751E-2</v>
      </c>
      <c r="D49" s="841" t="s">
        <v>737</v>
      </c>
      <c r="E49" s="753"/>
      <c r="F49" s="753"/>
      <c r="G49" s="780"/>
      <c r="H49" s="780"/>
      <c r="I49" s="829"/>
      <c r="J49" s="25"/>
      <c r="K49" s="1265"/>
      <c r="L49" s="1271" t="s">
        <v>2</v>
      </c>
      <c r="M49" s="1272"/>
      <c r="N49" s="1273"/>
      <c r="O49" s="1281" t="s">
        <v>219</v>
      </c>
      <c r="P49" s="758"/>
      <c r="Q49" s="758"/>
      <c r="R49" s="758"/>
      <c r="S49" s="758"/>
      <c r="T49" s="1294"/>
      <c r="U49" s="1294"/>
      <c r="V49" s="1287"/>
      <c r="W49" s="1287"/>
      <c r="X49" s="1287"/>
      <c r="Y49" s="1287"/>
      <c r="Z49" s="1287"/>
      <c r="AA49" s="1287"/>
      <c r="AB49" s="1287"/>
      <c r="AC49" s="1287"/>
      <c r="AD49" s="1287"/>
      <c r="AE49" s="1287"/>
      <c r="AF49" s="1287"/>
      <c r="AG49" s="1287"/>
      <c r="AH49" s="758"/>
      <c r="AI49" s="758"/>
      <c r="AJ49" s="758"/>
      <c r="AK49" s="758"/>
      <c r="AL49" s="758"/>
      <c r="AM49" s="758"/>
      <c r="AN49" s="758"/>
      <c r="AO49" s="758"/>
      <c r="AP49" s="1413" t="s">
        <v>738</v>
      </c>
      <c r="AQ49" s="1414"/>
      <c r="AR49" s="1414"/>
      <c r="AS49" s="1414"/>
      <c r="AT49" s="1415"/>
      <c r="AU49" s="614">
        <v>2</v>
      </c>
      <c r="AV49" s="614">
        <v>1.5</v>
      </c>
      <c r="AW49" s="614">
        <v>1.5</v>
      </c>
      <c r="AX49" s="714" t="s">
        <v>110</v>
      </c>
      <c r="AY49" s="714" t="s">
        <v>110</v>
      </c>
      <c r="AZ49" s="714" t="s">
        <v>110</v>
      </c>
      <c r="BA49" s="714" t="s">
        <v>110</v>
      </c>
      <c r="BB49" s="714" t="s">
        <v>110</v>
      </c>
      <c r="CI49" s="753"/>
      <c r="CJ49" s="753"/>
      <c r="CK49" s="753"/>
      <c r="CL49" s="753"/>
      <c r="CM49" s="753"/>
      <c r="CN49" s="753"/>
      <c r="CO49" s="753"/>
      <c r="CP49" s="753"/>
      <c r="CQ49" s="753"/>
      <c r="CR49" s="753"/>
      <c r="CS49" s="753"/>
      <c r="CT49" s="753"/>
      <c r="CU49" s="753"/>
      <c r="CV49" s="753"/>
      <c r="CW49" s="753"/>
      <c r="CX49" s="753"/>
      <c r="CY49" s="753"/>
      <c r="CZ49" s="753"/>
      <c r="DA49" s="753"/>
      <c r="DB49" s="753"/>
      <c r="DC49" s="753"/>
      <c r="DD49" s="753"/>
      <c r="DE49" s="753"/>
      <c r="DF49" s="753"/>
      <c r="DG49" s="753"/>
      <c r="DH49" s="776"/>
      <c r="DI49" s="758"/>
      <c r="DM49" s="753"/>
      <c r="DN49" s="778"/>
      <c r="DO49" s="770"/>
      <c r="DR49" s="819"/>
    </row>
    <row r="50" spans="1:122" ht="12.75" customHeight="1">
      <c r="A50" s="857"/>
      <c r="B50" s="798" t="s">
        <v>739</v>
      </c>
      <c r="C50" s="884" t="s">
        <v>740</v>
      </c>
      <c r="D50" s="780" t="s">
        <v>741</v>
      </c>
      <c r="E50" s="798"/>
      <c r="F50" s="764"/>
      <c r="G50" s="780"/>
      <c r="H50" s="780"/>
      <c r="I50" s="829"/>
      <c r="J50" s="25"/>
      <c r="K50" s="1265"/>
      <c r="L50" s="331" t="s">
        <v>1</v>
      </c>
      <c r="M50" s="332"/>
      <c r="N50" s="333"/>
      <c r="O50" s="122">
        <v>1.4</v>
      </c>
      <c r="P50" s="758"/>
      <c r="Q50" s="758"/>
      <c r="R50" s="758"/>
      <c r="S50" s="758"/>
      <c r="T50" s="1294"/>
      <c r="U50" s="1294"/>
      <c r="V50" s="1287"/>
      <c r="W50" s="1287"/>
      <c r="X50" s="1287"/>
      <c r="Y50" s="1287"/>
      <c r="Z50" s="1287"/>
      <c r="AA50" s="1287"/>
      <c r="AB50" s="1287"/>
      <c r="AC50" s="1294"/>
      <c r="AD50" s="1294"/>
      <c r="AE50" s="1294"/>
      <c r="AF50" s="1294"/>
      <c r="AG50" s="1294"/>
      <c r="AH50" s="758"/>
      <c r="AI50" s="758"/>
      <c r="AJ50" s="758"/>
      <c r="AK50" s="758"/>
      <c r="AL50" s="758"/>
      <c r="AM50" s="758"/>
      <c r="AN50" s="758"/>
      <c r="AO50" s="758"/>
      <c r="AP50" s="1416" t="s">
        <v>742</v>
      </c>
      <c r="AQ50" s="1417"/>
      <c r="AR50" s="1417"/>
      <c r="AS50" s="1417"/>
      <c r="AT50" s="1418"/>
      <c r="AU50" s="707">
        <v>2</v>
      </c>
      <c r="AV50" s="707">
        <v>2</v>
      </c>
      <c r="AW50" s="707">
        <v>2</v>
      </c>
      <c r="AX50" s="615" t="s">
        <v>110</v>
      </c>
      <c r="AY50" s="615" t="s">
        <v>110</v>
      </c>
      <c r="AZ50" s="615" t="s">
        <v>110</v>
      </c>
      <c r="BA50" s="615" t="s">
        <v>110</v>
      </c>
      <c r="BB50" s="615" t="s">
        <v>110</v>
      </c>
      <c r="CI50" s="753"/>
      <c r="CJ50" s="753"/>
      <c r="CK50" s="753"/>
      <c r="CL50" s="753"/>
      <c r="CM50" s="753"/>
      <c r="CN50" s="753"/>
      <c r="CO50" s="753"/>
      <c r="CP50" s="753"/>
      <c r="CQ50" s="753"/>
      <c r="CR50" s="753"/>
      <c r="CS50" s="753"/>
      <c r="CT50" s="753"/>
      <c r="CU50" s="753"/>
      <c r="CV50" s="753"/>
      <c r="CW50" s="753"/>
      <c r="CX50" s="753"/>
      <c r="CY50" s="753"/>
      <c r="CZ50" s="753"/>
      <c r="DA50" s="753"/>
      <c r="DB50" s="753"/>
      <c r="DC50" s="753"/>
      <c r="DD50" s="753"/>
      <c r="DE50" s="753"/>
      <c r="DF50" s="753"/>
      <c r="DG50" s="753"/>
      <c r="DH50" s="776"/>
      <c r="DI50" s="758"/>
      <c r="DM50" s="753"/>
      <c r="DN50" s="778"/>
      <c r="DO50" s="770"/>
      <c r="DR50" s="819"/>
    </row>
    <row r="51" spans="1:122" ht="12.75" customHeight="1">
      <c r="A51" s="857"/>
      <c r="B51" s="798"/>
      <c r="C51" s="819"/>
      <c r="D51" s="780"/>
      <c r="E51" s="780"/>
      <c r="F51" s="780"/>
      <c r="G51" s="780"/>
      <c r="H51" s="780"/>
      <c r="I51" s="829"/>
      <c r="K51" s="1265"/>
      <c r="L51" s="334">
        <v>0.3</v>
      </c>
      <c r="M51" s="335"/>
      <c r="N51" s="336"/>
      <c r="O51" s="125">
        <v>1.4</v>
      </c>
      <c r="P51" s="758"/>
      <c r="Q51" s="758"/>
      <c r="R51" s="758"/>
      <c r="S51" s="758"/>
      <c r="T51" s="1294"/>
      <c r="U51" s="1294"/>
      <c r="V51" s="1287"/>
      <c r="W51" s="1287"/>
      <c r="X51" s="1287"/>
      <c r="Y51" s="1287"/>
      <c r="Z51" s="1287"/>
      <c r="AA51" s="1287"/>
      <c r="AB51" s="1287"/>
      <c r="AC51" s="1287"/>
      <c r="AD51" s="1287"/>
      <c r="AE51" s="1287"/>
      <c r="AF51" s="1287"/>
      <c r="AG51" s="1287"/>
      <c r="AH51" s="758"/>
      <c r="AI51" s="758"/>
      <c r="AJ51" s="758"/>
      <c r="AK51" s="758"/>
      <c r="AL51" s="758"/>
      <c r="AM51" s="758"/>
      <c r="AN51" s="758"/>
      <c r="AO51" s="758"/>
      <c r="AP51" s="1416" t="s">
        <v>743</v>
      </c>
      <c r="AQ51" s="1417"/>
      <c r="AR51" s="1417"/>
      <c r="AS51" s="1417"/>
      <c r="AT51" s="1418"/>
      <c r="AU51" s="707">
        <v>2</v>
      </c>
      <c r="AV51" s="707">
        <v>2</v>
      </c>
      <c r="AW51" s="707">
        <v>2</v>
      </c>
      <c r="AX51" s="615" t="s">
        <v>110</v>
      </c>
      <c r="AY51" s="615" t="s">
        <v>110</v>
      </c>
      <c r="AZ51" s="615" t="s">
        <v>110</v>
      </c>
      <c r="BA51" s="615" t="s">
        <v>110</v>
      </c>
      <c r="BB51" s="615" t="s">
        <v>110</v>
      </c>
      <c r="DM51" s="753"/>
      <c r="DN51" s="778"/>
      <c r="DO51" s="770"/>
      <c r="DR51" s="819"/>
    </row>
    <row r="52" spans="1:122" ht="12.75" customHeight="1">
      <c r="A52" s="854" t="s">
        <v>141</v>
      </c>
      <c r="B52" s="780"/>
      <c r="C52" s="780"/>
      <c r="D52" s="780"/>
      <c r="E52" s="798"/>
      <c r="F52" s="833"/>
      <c r="G52" s="780"/>
      <c r="H52" s="780"/>
      <c r="I52" s="829"/>
      <c r="K52" s="1265"/>
      <c r="L52" s="334">
        <v>0.2</v>
      </c>
      <c r="M52" s="335"/>
      <c r="N52" s="336"/>
      <c r="O52" s="125">
        <v>1.5</v>
      </c>
      <c r="P52" s="758"/>
      <c r="Q52" s="758"/>
      <c r="R52" s="758"/>
      <c r="S52" s="758"/>
      <c r="T52" s="1294"/>
      <c r="U52" s="1294"/>
      <c r="V52" s="1287"/>
      <c r="W52" s="1287"/>
      <c r="X52" s="1287"/>
      <c r="Y52" s="1287"/>
      <c r="Z52" s="1287"/>
      <c r="AA52" s="1287"/>
      <c r="AB52" s="1287"/>
      <c r="AC52" s="1287"/>
      <c r="AD52" s="1287"/>
      <c r="AE52" s="1287"/>
      <c r="AF52" s="1287"/>
      <c r="AG52" s="1287"/>
      <c r="AH52" s="758"/>
      <c r="AI52" s="758"/>
      <c r="AJ52" s="758"/>
      <c r="AK52" s="758"/>
      <c r="AL52" s="758"/>
      <c r="AM52" s="758"/>
      <c r="AN52" s="758"/>
      <c r="AO52" s="758"/>
      <c r="AP52" s="1416" t="s">
        <v>744</v>
      </c>
      <c r="AQ52" s="1417"/>
      <c r="AR52" s="1417"/>
      <c r="AS52" s="1417"/>
      <c r="AT52" s="1418"/>
      <c r="AU52" s="715">
        <v>3.5</v>
      </c>
      <c r="AV52" s="707">
        <v>1.75</v>
      </c>
      <c r="AW52" s="707">
        <v>3</v>
      </c>
      <c r="AX52" s="615" t="s">
        <v>110</v>
      </c>
      <c r="AY52" s="615" t="s">
        <v>110</v>
      </c>
      <c r="AZ52" s="615" t="s">
        <v>110</v>
      </c>
      <c r="BA52" s="615" t="s">
        <v>110</v>
      </c>
      <c r="BB52" s="615" t="s">
        <v>110</v>
      </c>
      <c r="DM52" s="753"/>
      <c r="DN52" s="778"/>
      <c r="DO52" s="770"/>
      <c r="DR52" s="819"/>
    </row>
    <row r="53" spans="1:122" ht="12.75" customHeight="1">
      <c r="A53" s="857"/>
      <c r="B53" s="798" t="s">
        <v>140</v>
      </c>
      <c r="C53" s="882">
        <v>3</v>
      </c>
      <c r="D53" s="773" t="s">
        <v>1216</v>
      </c>
      <c r="E53" s="780"/>
      <c r="F53" s="799"/>
      <c r="G53" s="780"/>
      <c r="H53" s="780"/>
      <c r="I53" s="829"/>
      <c r="J53" s="25"/>
      <c r="K53" s="1265"/>
      <c r="L53" s="334">
        <v>0.15</v>
      </c>
      <c r="M53" s="335"/>
      <c r="N53" s="336"/>
      <c r="O53" s="125">
        <v>1.6</v>
      </c>
      <c r="P53" s="758"/>
      <c r="Q53" s="758"/>
      <c r="R53" s="758"/>
      <c r="S53" s="758"/>
      <c r="T53" s="1294"/>
      <c r="U53" s="1294"/>
      <c r="V53" s="1287"/>
      <c r="W53" s="1287"/>
      <c r="X53" s="1287"/>
      <c r="Y53" s="1287"/>
      <c r="Z53" s="1287"/>
      <c r="AA53" s="1287"/>
      <c r="AB53" s="1287"/>
      <c r="AC53" s="1287"/>
      <c r="AD53" s="1287"/>
      <c r="AE53" s="1287"/>
      <c r="AF53" s="1287"/>
      <c r="AG53" s="1287"/>
      <c r="AH53" s="758"/>
      <c r="AI53" s="758"/>
      <c r="AJ53" s="758"/>
      <c r="AK53" s="758"/>
      <c r="AL53" s="758"/>
      <c r="AM53" s="758"/>
      <c r="AN53" s="758"/>
      <c r="AO53" s="758"/>
      <c r="AP53" s="1416" t="s">
        <v>745</v>
      </c>
      <c r="AQ53" s="1417"/>
      <c r="AR53" s="1417"/>
      <c r="AS53" s="1417"/>
      <c r="AT53" s="1418"/>
      <c r="AU53" s="716">
        <v>1.25</v>
      </c>
      <c r="AV53" s="716">
        <v>2</v>
      </c>
      <c r="AW53" s="716">
        <v>2.5</v>
      </c>
      <c r="AX53" s="717" t="s">
        <v>110</v>
      </c>
      <c r="AY53" s="716">
        <v>50</v>
      </c>
      <c r="AZ53" s="716">
        <v>50</v>
      </c>
      <c r="BA53" s="716">
        <v>50</v>
      </c>
      <c r="BB53" s="716">
        <v>50</v>
      </c>
      <c r="CI53" s="753"/>
      <c r="CJ53" s="753"/>
      <c r="CK53" s="753"/>
      <c r="CL53" s="753"/>
      <c r="CM53" s="753"/>
      <c r="CN53" s="753"/>
      <c r="CO53" s="753"/>
      <c r="CP53" s="753"/>
      <c r="CQ53" s="753"/>
      <c r="CR53" s="753"/>
      <c r="CS53" s="753"/>
      <c r="CT53" s="753"/>
      <c r="CU53" s="753"/>
      <c r="CV53" s="753"/>
      <c r="CW53" s="753"/>
      <c r="CX53" s="753"/>
      <c r="CY53" s="753"/>
      <c r="CZ53" s="753"/>
      <c r="DA53" s="753"/>
      <c r="DB53" s="753"/>
      <c r="DC53" s="753"/>
      <c r="DD53" s="753"/>
      <c r="DE53" s="753"/>
      <c r="DF53" s="753"/>
      <c r="DG53" s="753"/>
      <c r="DH53" s="776"/>
      <c r="DI53" s="758"/>
      <c r="DM53" s="753"/>
      <c r="DN53" s="778"/>
      <c r="DO53" s="770"/>
      <c r="DR53" s="819"/>
    </row>
    <row r="54" spans="1:122" ht="12.75" customHeight="1">
      <c r="A54" s="857"/>
      <c r="B54" s="798" t="s">
        <v>746</v>
      </c>
      <c r="C54" s="883">
        <v>2</v>
      </c>
      <c r="D54" s="773" t="s">
        <v>1216</v>
      </c>
      <c r="E54" s="780"/>
      <c r="F54" s="780"/>
      <c r="G54" s="780"/>
      <c r="H54" s="780"/>
      <c r="I54" s="829"/>
      <c r="J54" s="25"/>
      <c r="K54" s="1265"/>
      <c r="L54" s="337" t="s">
        <v>234</v>
      </c>
      <c r="M54" s="338"/>
      <c r="N54" s="339"/>
      <c r="O54" s="1340">
        <v>1.7</v>
      </c>
      <c r="P54" s="758"/>
      <c r="Q54" s="758"/>
      <c r="R54" s="758"/>
      <c r="S54" s="758"/>
      <c r="T54" s="758"/>
      <c r="U54" s="758"/>
      <c r="V54" s="758"/>
      <c r="W54" s="758"/>
      <c r="X54" s="758"/>
      <c r="Y54" s="758"/>
      <c r="Z54" s="758"/>
      <c r="AA54" s="758"/>
      <c r="AB54" s="758"/>
      <c r="AC54" s="1287"/>
      <c r="AD54" s="1287"/>
      <c r="AE54" s="1287"/>
      <c r="AF54" s="1287"/>
      <c r="AG54" s="1287"/>
      <c r="AH54" s="758"/>
      <c r="AI54" s="758"/>
      <c r="AJ54" s="758"/>
      <c r="AK54" s="758"/>
      <c r="AL54" s="758"/>
      <c r="AM54" s="758"/>
      <c r="AN54" s="758"/>
      <c r="AO54" s="758"/>
      <c r="CI54" s="753"/>
      <c r="CJ54" s="753"/>
      <c r="CK54" s="753"/>
      <c r="CL54" s="753"/>
      <c r="CM54" s="753"/>
      <c r="CN54" s="753"/>
      <c r="CO54" s="753"/>
      <c r="CP54" s="753"/>
      <c r="CQ54" s="753"/>
      <c r="CR54" s="753"/>
      <c r="CS54" s="753"/>
      <c r="CT54" s="753"/>
      <c r="CU54" s="753"/>
      <c r="CV54" s="753"/>
      <c r="CW54" s="753"/>
      <c r="CX54" s="753"/>
      <c r="CY54" s="753"/>
      <c r="CZ54" s="753"/>
      <c r="DA54" s="753"/>
      <c r="DB54" s="753"/>
      <c r="DC54" s="753"/>
      <c r="DD54" s="753"/>
      <c r="DE54" s="753"/>
      <c r="DF54" s="753"/>
      <c r="DG54" s="753"/>
      <c r="DH54" s="776"/>
      <c r="DI54" s="758"/>
      <c r="DM54" s="753"/>
      <c r="DN54" s="778"/>
      <c r="DO54" s="770"/>
      <c r="DR54" s="819"/>
    </row>
    <row r="55" spans="1:122" ht="12.75" customHeight="1">
      <c r="A55" s="857"/>
      <c r="B55" s="798" t="s">
        <v>747</v>
      </c>
      <c r="C55" s="884">
        <v>2.5</v>
      </c>
      <c r="D55" s="773" t="s">
        <v>1216</v>
      </c>
      <c r="E55" s="780"/>
      <c r="F55" s="780"/>
      <c r="G55" s="780"/>
      <c r="H55" s="780"/>
      <c r="I55" s="829"/>
      <c r="J55" s="25"/>
      <c r="K55" s="1265"/>
      <c r="L55" s="19"/>
      <c r="M55" s="19"/>
      <c r="N55" s="19"/>
      <c r="O55" s="126"/>
      <c r="P55" s="758"/>
      <c r="Q55" s="758"/>
      <c r="R55" s="758"/>
      <c r="S55" s="758"/>
      <c r="T55" s="758"/>
      <c r="U55" s="758"/>
      <c r="V55" s="758"/>
      <c r="W55" s="758"/>
      <c r="X55" s="758"/>
      <c r="Y55" s="758"/>
      <c r="Z55" s="758"/>
      <c r="AA55" s="758"/>
      <c r="AB55" s="758"/>
      <c r="AC55" s="1287"/>
      <c r="AD55" s="1287"/>
      <c r="AE55" s="1287"/>
      <c r="AF55" s="1287"/>
      <c r="AG55" s="1287"/>
      <c r="AH55" s="758"/>
      <c r="AI55" s="758"/>
      <c r="AJ55" s="758"/>
      <c r="AK55" s="758"/>
      <c r="AL55" s="758"/>
      <c r="AM55" s="758"/>
      <c r="AN55" s="758"/>
      <c r="AO55" s="758"/>
      <c r="AP55" s="617" t="s">
        <v>104</v>
      </c>
      <c r="CI55" s="753"/>
      <c r="CJ55" s="753"/>
      <c r="CK55" s="753"/>
      <c r="CL55" s="753"/>
      <c r="CM55" s="753"/>
      <c r="CN55" s="753"/>
      <c r="CO55" s="753"/>
      <c r="CP55" s="753"/>
      <c r="CQ55" s="753"/>
      <c r="CR55" s="753"/>
      <c r="CS55" s="753"/>
      <c r="CT55" s="753"/>
      <c r="CU55" s="753"/>
      <c r="CV55" s="753"/>
      <c r="CW55" s="753"/>
      <c r="CX55" s="753"/>
      <c r="CY55" s="753"/>
      <c r="CZ55" s="753"/>
      <c r="DA55" s="753"/>
      <c r="DB55" s="753"/>
      <c r="DC55" s="753"/>
      <c r="DD55" s="753"/>
      <c r="DE55" s="753"/>
      <c r="DF55" s="753"/>
      <c r="DG55" s="753"/>
      <c r="DH55" s="776"/>
      <c r="DI55" s="758"/>
      <c r="DM55" s="753"/>
      <c r="DN55" s="778"/>
      <c r="DO55" s="770"/>
      <c r="DR55" s="819"/>
    </row>
    <row r="56" spans="1:122" ht="12.75" customHeight="1">
      <c r="A56" s="886"/>
      <c r="B56" s="867"/>
      <c r="C56" s="867"/>
      <c r="D56" s="867"/>
      <c r="E56" s="867"/>
      <c r="F56" s="867"/>
      <c r="G56" s="867"/>
      <c r="H56" s="867"/>
      <c r="I56" s="868" t="s">
        <v>377</v>
      </c>
      <c r="J56" s="25"/>
      <c r="K56" s="1265"/>
      <c r="L56" s="19"/>
      <c r="M56" s="19"/>
      <c r="N56" s="136" t="s">
        <v>220</v>
      </c>
      <c r="O56" s="242">
        <f>IF($C$41&gt;0.4,1.4,IF($C$41&gt;=0.3,1.4,IF($C$41&gt;=0.2,(1.4-1.5)*($C$41-0.3)/(0.3-0.2)+1.4,IF($C$41&gt;=0.15,(1.5-1.6)*($C$41-0.2)/(0.2-0.15)+1.5,IF($C$41&gt;0.1,(1.6-1.7)*($C$41-0.15)/(0.15-0.1)+1.6,1.7)   ))))</f>
        <v>1.564192</v>
      </c>
      <c r="P56" s="758"/>
      <c r="Q56" s="758"/>
      <c r="R56" s="758"/>
      <c r="S56" s="758"/>
      <c r="T56" s="758"/>
      <c r="U56" s="758"/>
      <c r="V56" s="758"/>
      <c r="W56" s="758"/>
      <c r="X56" s="758"/>
      <c r="Y56" s="758"/>
      <c r="Z56" s="758"/>
      <c r="AA56" s="758"/>
      <c r="AB56" s="758"/>
      <c r="AC56" s="1287"/>
      <c r="AD56" s="1287"/>
      <c r="AE56" s="1287"/>
      <c r="AF56" s="1287"/>
      <c r="AG56" s="1287"/>
      <c r="AH56" s="758"/>
      <c r="AI56" s="758"/>
      <c r="AJ56" s="758"/>
      <c r="AK56" s="758"/>
      <c r="AL56" s="758"/>
      <c r="AM56" s="758"/>
      <c r="AN56" s="758"/>
      <c r="AO56" s="758"/>
      <c r="AP56" s="718" t="s">
        <v>748</v>
      </c>
      <c r="CI56" s="753"/>
      <c r="CJ56" s="753"/>
      <c r="CK56" s="753"/>
      <c r="CL56" s="753"/>
      <c r="CM56" s="753"/>
      <c r="CN56" s="753"/>
      <c r="CO56" s="753"/>
      <c r="CP56" s="753"/>
      <c r="CQ56" s="753"/>
      <c r="CR56" s="753"/>
      <c r="CS56" s="753"/>
      <c r="CT56" s="753"/>
      <c r="CU56" s="753"/>
      <c r="CV56" s="753"/>
      <c r="CW56" s="753"/>
      <c r="CX56" s="753"/>
      <c r="CY56" s="753"/>
      <c r="CZ56" s="753"/>
      <c r="DA56" s="753"/>
      <c r="DB56" s="753"/>
      <c r="DC56" s="753"/>
      <c r="DD56" s="753"/>
      <c r="DE56" s="753"/>
      <c r="DF56" s="753"/>
      <c r="DG56" s="753"/>
      <c r="DH56" s="776"/>
      <c r="DI56" s="758"/>
      <c r="DM56" s="753"/>
      <c r="DN56" s="778"/>
      <c r="DO56" s="770"/>
      <c r="DR56" s="819"/>
    </row>
    <row r="57" spans="1:122" ht="12.75" customHeight="1">
      <c r="A57" s="887"/>
      <c r="B57" s="869"/>
      <c r="C57" s="869"/>
      <c r="D57" s="869"/>
      <c r="E57" s="869"/>
      <c r="F57" s="869"/>
      <c r="G57" s="869"/>
      <c r="H57" s="869"/>
      <c r="I57" s="870"/>
      <c r="J57" s="25"/>
      <c r="K57" s="1265"/>
      <c r="L57" s="758"/>
      <c r="M57" s="758"/>
      <c r="N57" s="758"/>
      <c r="O57" s="778"/>
      <c r="P57" s="758"/>
      <c r="Q57" s="758"/>
      <c r="R57" s="758"/>
      <c r="S57" s="758"/>
      <c r="T57" s="1308"/>
      <c r="U57" s="1294"/>
      <c r="V57" s="1309"/>
      <c r="W57" s="1309"/>
      <c r="X57" s="1309"/>
      <c r="Y57" s="1287"/>
      <c r="Z57" s="1287"/>
      <c r="AA57" s="1287"/>
      <c r="AB57" s="1287"/>
      <c r="AC57" s="1287"/>
      <c r="AD57" s="1287"/>
      <c r="AE57" s="1287"/>
      <c r="AF57" s="1287"/>
      <c r="AG57" s="1287"/>
      <c r="AH57" s="758"/>
      <c r="AI57" s="758"/>
      <c r="AJ57" s="758"/>
      <c r="AK57" s="758"/>
      <c r="AL57" s="758"/>
      <c r="AM57" s="758"/>
      <c r="AN57" s="758"/>
      <c r="AO57" s="758"/>
      <c r="AP57" s="718" t="s">
        <v>749</v>
      </c>
      <c r="CI57" s="753"/>
      <c r="CJ57" s="753"/>
      <c r="CK57" s="753"/>
      <c r="CL57" s="753"/>
      <c r="CM57" s="753"/>
      <c r="CN57" s="753"/>
      <c r="CO57" s="753"/>
      <c r="CP57" s="753"/>
      <c r="CQ57" s="753"/>
      <c r="CR57" s="753"/>
      <c r="CS57" s="753"/>
      <c r="CT57" s="753"/>
      <c r="CU57" s="753"/>
      <c r="CV57" s="753"/>
      <c r="CW57" s="753"/>
      <c r="CX57" s="753"/>
      <c r="CY57" s="753"/>
      <c r="CZ57" s="753"/>
      <c r="DA57" s="753"/>
      <c r="DB57" s="753"/>
      <c r="DC57" s="753"/>
      <c r="DD57" s="753"/>
      <c r="DE57" s="753"/>
      <c r="DF57" s="753"/>
      <c r="DG57" s="753"/>
      <c r="DH57" s="776"/>
      <c r="DI57" s="758"/>
      <c r="DM57" s="753"/>
      <c r="DN57" s="778"/>
      <c r="DO57" s="770"/>
      <c r="DR57" s="819"/>
    </row>
    <row r="58" spans="1:122" ht="12.75" customHeight="1">
      <c r="A58" s="854" t="s">
        <v>1217</v>
      </c>
      <c r="B58" s="780"/>
      <c r="C58" s="780"/>
      <c r="D58" s="780"/>
      <c r="E58" s="780"/>
      <c r="F58" s="780"/>
      <c r="G58" s="780"/>
      <c r="H58" s="773"/>
      <c r="I58" s="836"/>
      <c r="J58" s="25"/>
      <c r="K58" s="1265"/>
      <c r="L58" s="758"/>
      <c r="M58" s="758"/>
      <c r="N58" s="758"/>
      <c r="O58" s="778"/>
      <c r="P58" s="758"/>
      <c r="Q58" s="758"/>
      <c r="R58" s="758"/>
      <c r="S58" s="758"/>
      <c r="T58" s="758"/>
      <c r="U58" s="1294"/>
      <c r="V58" s="1309"/>
      <c r="W58" s="1309"/>
      <c r="X58" s="1309"/>
      <c r="Y58" s="1287"/>
      <c r="Z58" s="1287"/>
      <c r="AA58" s="1287"/>
      <c r="AB58" s="1287"/>
      <c r="AC58" s="1287"/>
      <c r="AD58" s="1287"/>
      <c r="AE58" s="1287"/>
      <c r="AF58" s="1287"/>
      <c r="AG58" s="1287"/>
      <c r="AH58" s="758"/>
      <c r="AI58" s="758"/>
      <c r="AJ58" s="758"/>
      <c r="AK58" s="758"/>
      <c r="AL58" s="758"/>
      <c r="AM58" s="758"/>
      <c r="AN58" s="758"/>
      <c r="AO58" s="758"/>
      <c r="AP58" s="719" t="s">
        <v>750</v>
      </c>
      <c r="CI58" s="753"/>
      <c r="CJ58" s="753"/>
      <c r="CK58" s="753"/>
      <c r="CL58" s="753"/>
      <c r="CM58" s="753"/>
      <c r="CN58" s="753"/>
      <c r="CO58" s="753"/>
      <c r="CP58" s="753"/>
      <c r="CQ58" s="753"/>
      <c r="CR58" s="753"/>
      <c r="CS58" s="753"/>
      <c r="CT58" s="753"/>
      <c r="CU58" s="753"/>
      <c r="CV58" s="753"/>
      <c r="CW58" s="753"/>
      <c r="CX58" s="753"/>
      <c r="CY58" s="753"/>
      <c r="CZ58" s="753"/>
      <c r="DA58" s="753"/>
      <c r="DB58" s="753"/>
      <c r="DC58" s="753"/>
      <c r="DD58" s="753"/>
      <c r="DE58" s="753"/>
      <c r="DF58" s="753"/>
      <c r="DG58" s="753"/>
      <c r="DH58" s="776"/>
      <c r="DI58" s="758"/>
      <c r="DM58" s="753"/>
      <c r="DN58" s="778"/>
      <c r="DO58" s="770"/>
      <c r="DR58" s="819"/>
    </row>
    <row r="59" spans="1:122" ht="12.75" customHeight="1">
      <c r="A59" s="857" t="s">
        <v>751</v>
      </c>
      <c r="B59" s="780"/>
      <c r="C59" s="780"/>
      <c r="D59" s="780"/>
      <c r="E59" s="780"/>
      <c r="F59" s="780"/>
      <c r="G59" s="780"/>
      <c r="H59" s="780"/>
      <c r="I59" s="829"/>
      <c r="J59" s="25"/>
      <c r="K59" s="1265"/>
      <c r="L59" s="758"/>
      <c r="M59" s="758"/>
      <c r="N59" s="758"/>
      <c r="O59" s="767" t="s">
        <v>752</v>
      </c>
      <c r="P59" s="1338" t="str">
        <f>IF(OR($C$27="7a",$C$27="7b",$C$27="7c",$C$27="7d",$C$27="7e",$C$27="7f"),"Yes","No")</f>
        <v>Yes</v>
      </c>
      <c r="Q59" s="758"/>
      <c r="R59" s="758"/>
      <c r="S59" s="758"/>
      <c r="T59" s="758"/>
      <c r="U59" s="1294"/>
      <c r="V59" s="1309"/>
      <c r="W59" s="1309"/>
      <c r="X59" s="1309"/>
      <c r="Y59" s="1287"/>
      <c r="Z59" s="1287"/>
      <c r="AA59" s="1287"/>
      <c r="AB59" s="1287"/>
      <c r="AC59" s="1287"/>
      <c r="AD59" s="1287"/>
      <c r="AE59" s="1287"/>
      <c r="AF59" s="1287"/>
      <c r="AG59" s="1287"/>
      <c r="AH59" s="758"/>
      <c r="AI59" s="758"/>
      <c r="AJ59" s="758"/>
      <c r="AK59" s="758"/>
      <c r="AL59" s="758"/>
      <c r="AM59" s="758"/>
      <c r="AN59" s="758"/>
      <c r="AO59" s="758"/>
      <c r="AP59" s="719" t="s">
        <v>753</v>
      </c>
      <c r="CI59" s="753"/>
      <c r="CJ59" s="753"/>
      <c r="CK59" s="753"/>
      <c r="CL59" s="753"/>
      <c r="CM59" s="753"/>
      <c r="CN59" s="753"/>
      <c r="CO59" s="753"/>
      <c r="CP59" s="753"/>
      <c r="CQ59" s="753"/>
      <c r="CR59" s="753"/>
      <c r="CS59" s="753"/>
      <c r="CT59" s="753"/>
      <c r="CU59" s="753"/>
      <c r="CV59" s="753"/>
      <c r="CW59" s="753"/>
      <c r="CX59" s="753"/>
      <c r="CY59" s="753"/>
      <c r="CZ59" s="753"/>
      <c r="DA59" s="753"/>
      <c r="DB59" s="753"/>
      <c r="DC59" s="753"/>
      <c r="DD59" s="753"/>
      <c r="DE59" s="753"/>
      <c r="DF59" s="753"/>
      <c r="DG59" s="753"/>
      <c r="DH59" s="776"/>
      <c r="DI59" s="758"/>
      <c r="DM59" s="753"/>
      <c r="DN59" s="778"/>
      <c r="DO59" s="770"/>
      <c r="DR59" s="819"/>
    </row>
    <row r="60" spans="1:122" ht="12.75" customHeight="1">
      <c r="A60" s="857"/>
      <c r="B60" s="798" t="s">
        <v>754</v>
      </c>
      <c r="C60" s="1328">
        <f>$C$20+$C$21+$C$22+$C$25</f>
        <v>947.56</v>
      </c>
      <c r="D60" s="852" t="s">
        <v>1221</v>
      </c>
      <c r="E60" s="780"/>
      <c r="F60" s="780"/>
      <c r="G60" s="780"/>
      <c r="H60" s="780"/>
      <c r="I60" s="829"/>
      <c r="J60" s="25"/>
      <c r="K60" s="1265"/>
      <c r="L60" s="758"/>
      <c r="M60" s="758"/>
      <c r="N60" s="758"/>
      <c r="O60" s="767" t="s">
        <v>755</v>
      </c>
      <c r="P60" s="126" t="str">
        <f>$C$26</f>
        <v>Yes</v>
      </c>
      <c r="Q60" s="759"/>
      <c r="R60" s="759"/>
      <c r="S60" s="759"/>
      <c r="T60" s="1308"/>
      <c r="U60" s="1294"/>
      <c r="V60" s="1309"/>
      <c r="W60" s="1309"/>
      <c r="X60" s="1309"/>
      <c r="Y60" s="1287"/>
      <c r="Z60" s="1287"/>
      <c r="AA60" s="1287"/>
      <c r="AB60" s="1287"/>
      <c r="AC60" s="1287"/>
      <c r="AD60" s="1287"/>
      <c r="AE60" s="1287"/>
      <c r="AF60" s="1287"/>
      <c r="AG60" s="1287"/>
      <c r="AH60" s="758"/>
      <c r="AI60" s="758"/>
      <c r="AJ60" s="758"/>
      <c r="AK60" s="758"/>
      <c r="AL60" s="758"/>
      <c r="AM60" s="758"/>
      <c r="AN60" s="758"/>
      <c r="AO60" s="758"/>
      <c r="CI60" s="753"/>
      <c r="CJ60" s="753"/>
      <c r="CK60" s="753"/>
      <c r="CL60" s="753"/>
      <c r="CM60" s="753"/>
      <c r="CN60" s="753"/>
      <c r="CO60" s="753"/>
      <c r="CP60" s="753"/>
      <c r="CQ60" s="753"/>
      <c r="CR60" s="753"/>
      <c r="CS60" s="753"/>
      <c r="CT60" s="753"/>
      <c r="CU60" s="753"/>
      <c r="CV60" s="753"/>
      <c r="CW60" s="753"/>
      <c r="CX60" s="753"/>
      <c r="CY60" s="753"/>
      <c r="CZ60" s="753"/>
      <c r="DA60" s="753"/>
      <c r="DB60" s="753"/>
      <c r="DC60" s="753"/>
      <c r="DD60" s="753"/>
      <c r="DE60" s="753"/>
      <c r="DF60" s="753"/>
      <c r="DG60" s="753"/>
      <c r="DH60" s="776"/>
      <c r="DI60" s="758"/>
      <c r="DM60" s="753"/>
      <c r="DN60" s="778"/>
      <c r="DO60" s="770"/>
      <c r="DR60" s="819"/>
    </row>
    <row r="61" spans="1:122" ht="12.75" customHeight="1">
      <c r="A61" s="857"/>
      <c r="B61" s="798" t="s">
        <v>756</v>
      </c>
      <c r="C61" s="389">
        <f>IF($C$46="N.A.","N.A.",$C$40/($C$53/$C$9))</f>
        <v>0.11877262222222222</v>
      </c>
      <c r="D61" s="773" t="s">
        <v>1222</v>
      </c>
      <c r="E61" s="798"/>
      <c r="F61" s="842"/>
      <c r="G61" s="837"/>
      <c r="H61" s="801"/>
      <c r="I61" s="843"/>
      <c r="K61" s="1265"/>
      <c r="L61" s="758"/>
      <c r="M61" s="758"/>
      <c r="N61" s="758"/>
      <c r="O61" s="1310" t="s">
        <v>757</v>
      </c>
      <c r="P61" s="1339" t="str">
        <f>IF(AND($P$59="Yes",$P$60="Yes"),"Yes","No")</f>
        <v>Yes</v>
      </c>
      <c r="Q61" s="1255"/>
      <c r="R61" s="1255"/>
      <c r="S61" s="1255"/>
      <c r="T61" s="1308"/>
      <c r="U61" s="1294"/>
      <c r="V61" s="1309"/>
      <c r="W61" s="1309"/>
      <c r="X61" s="1309"/>
      <c r="Y61" s="1287"/>
      <c r="Z61" s="1287"/>
      <c r="AA61" s="1287"/>
      <c r="AB61" s="1287"/>
      <c r="AC61" s="1287"/>
      <c r="AD61" s="1287"/>
      <c r="AE61" s="1287"/>
      <c r="AF61" s="1287"/>
      <c r="AG61" s="1287"/>
      <c r="AH61" s="758"/>
      <c r="AI61" s="758"/>
      <c r="AJ61" s="758"/>
      <c r="AK61" s="758"/>
      <c r="AL61" s="758"/>
      <c r="AM61" s="758"/>
      <c r="AN61" s="758"/>
      <c r="AO61" s="758"/>
      <c r="CI61" s="753"/>
      <c r="CJ61" s="753"/>
      <c r="CK61" s="753"/>
      <c r="CL61" s="753"/>
      <c r="CM61" s="753"/>
      <c r="CN61" s="753"/>
      <c r="CO61" s="753"/>
      <c r="CP61" s="753"/>
      <c r="CQ61" s="753"/>
      <c r="CR61" s="753"/>
      <c r="CS61" s="753"/>
      <c r="CT61" s="753"/>
      <c r="CU61" s="753"/>
      <c r="CV61" s="753"/>
      <c r="CW61" s="753"/>
      <c r="CX61" s="753"/>
      <c r="CY61" s="753"/>
      <c r="CZ61" s="753"/>
      <c r="DA61" s="753"/>
      <c r="DB61" s="753"/>
      <c r="DC61" s="753"/>
      <c r="DD61" s="753"/>
      <c r="DE61" s="753"/>
      <c r="DF61" s="753"/>
      <c r="DG61" s="753"/>
      <c r="DH61" s="776"/>
      <c r="DI61" s="758"/>
      <c r="DM61" s="753"/>
      <c r="DN61" s="778"/>
      <c r="DO61" s="770"/>
      <c r="DR61" s="819"/>
    </row>
    <row r="62" spans="1:122" ht="12.75" customHeight="1">
      <c r="A62" s="854"/>
      <c r="B62" s="798" t="s">
        <v>758</v>
      </c>
      <c r="C62" s="389">
        <f>IF($C$46="N.A.","N.A.",IF($C$49&lt;=$C$14,$C$41/($C$49*($C$53/$C$9)),$C$41*$C$14/($C$49^2*($C$53/$C$9))))</f>
        <v>1.3286176081786789</v>
      </c>
      <c r="D62" s="773" t="s">
        <v>1223</v>
      </c>
      <c r="E62" s="780"/>
      <c r="F62" s="780"/>
      <c r="G62" s="780"/>
      <c r="H62" s="780"/>
      <c r="I62" s="829"/>
      <c r="J62" s="33"/>
      <c r="K62" s="1265"/>
      <c r="L62" s="1311"/>
      <c r="M62" s="1312"/>
      <c r="N62" s="819"/>
      <c r="O62" s="819"/>
      <c r="P62" s="915"/>
      <c r="Q62" s="1312"/>
      <c r="R62" s="819"/>
      <c r="S62" s="819"/>
      <c r="T62" s="1308"/>
      <c r="U62" s="1294"/>
      <c r="V62" s="1309"/>
      <c r="W62" s="1309"/>
      <c r="X62" s="1309"/>
      <c r="Y62" s="1287"/>
      <c r="Z62" s="1287"/>
      <c r="AA62" s="1287"/>
      <c r="AB62" s="1287"/>
      <c r="AC62" s="1287"/>
      <c r="AD62" s="1287"/>
      <c r="AE62" s="1287"/>
      <c r="AF62" s="1287"/>
      <c r="AG62" s="1287"/>
      <c r="AH62" s="758"/>
      <c r="AI62" s="758"/>
      <c r="AJ62" s="758"/>
      <c r="AK62" s="758"/>
      <c r="AL62" s="758"/>
      <c r="AM62" s="758"/>
      <c r="AN62" s="758"/>
      <c r="AO62" s="758"/>
      <c r="CI62" s="753"/>
      <c r="CJ62" s="753"/>
      <c r="CK62" s="753"/>
      <c r="CL62" s="753"/>
      <c r="CM62" s="753"/>
      <c r="CN62" s="753"/>
      <c r="CO62" s="753"/>
      <c r="CP62" s="753"/>
      <c r="CQ62" s="753"/>
      <c r="CR62" s="753"/>
      <c r="CS62" s="753"/>
      <c r="CT62" s="753"/>
      <c r="CU62" s="753"/>
      <c r="CV62" s="753"/>
      <c r="CW62" s="753"/>
      <c r="CX62" s="753"/>
      <c r="CY62" s="753"/>
      <c r="CZ62" s="753"/>
      <c r="DA62" s="753"/>
      <c r="DB62" s="753"/>
      <c r="DC62" s="753"/>
      <c r="DD62" s="753"/>
      <c r="DE62" s="753"/>
      <c r="DF62" s="753"/>
      <c r="DG62" s="753"/>
      <c r="DH62" s="776"/>
      <c r="DI62" s="758"/>
      <c r="DM62" s="753"/>
      <c r="DN62" s="778"/>
      <c r="DO62" s="770"/>
      <c r="DR62" s="819"/>
    </row>
    <row r="63" spans="1:122" ht="12.75" customHeight="1">
      <c r="A63" s="857"/>
      <c r="B63" s="798" t="s">
        <v>759</v>
      </c>
      <c r="C63" s="389">
        <f>IF($C$46="N.A.","N.A.",IF($C$13&gt;=0.6,0.8*$C$13/($C$53/$C$9),MAX(0.044*$C$40*$C$9,0.03)))</f>
        <v>0.03</v>
      </c>
      <c r="D63" s="804" t="s">
        <v>1224</v>
      </c>
      <c r="E63" s="753"/>
      <c r="F63" s="753"/>
      <c r="G63" s="753"/>
      <c r="H63" s="753"/>
      <c r="I63" s="834"/>
      <c r="J63" s="33"/>
      <c r="K63" s="1265"/>
      <c r="L63" s="1311"/>
      <c r="M63" s="1312"/>
      <c r="N63" s="819"/>
      <c r="O63" s="819"/>
      <c r="P63" s="915"/>
      <c r="Q63" s="1312"/>
      <c r="R63" s="819"/>
      <c r="S63" s="819"/>
      <c r="T63" s="1308"/>
      <c r="U63" s="1294"/>
      <c r="V63" s="1294"/>
      <c r="W63" s="1294"/>
      <c r="X63" s="1294"/>
      <c r="Y63" s="1294"/>
      <c r="Z63" s="1294"/>
      <c r="AA63" s="1294"/>
      <c r="AB63" s="1294"/>
      <c r="AC63" s="1294"/>
      <c r="AD63" s="1294"/>
      <c r="AE63" s="1294"/>
      <c r="AF63" s="1294"/>
      <c r="AG63" s="1294"/>
      <c r="AH63" s="758"/>
      <c r="AI63" s="819"/>
      <c r="AJ63" s="804"/>
      <c r="AK63" s="753"/>
      <c r="AL63" s="758"/>
      <c r="AM63" s="758"/>
      <c r="AN63" s="758"/>
      <c r="AO63" s="758"/>
      <c r="CI63" s="753"/>
      <c r="CJ63" s="753"/>
      <c r="CK63" s="753"/>
      <c r="CL63" s="753"/>
      <c r="CM63" s="753"/>
      <c r="CN63" s="753"/>
      <c r="CO63" s="753"/>
      <c r="CP63" s="753"/>
      <c r="CQ63" s="753"/>
      <c r="CR63" s="753"/>
      <c r="CS63" s="753"/>
      <c r="CT63" s="753"/>
      <c r="CU63" s="753"/>
      <c r="CV63" s="753"/>
      <c r="CW63" s="753"/>
      <c r="CX63" s="753"/>
      <c r="CY63" s="753"/>
      <c r="CZ63" s="753"/>
      <c r="DA63" s="753"/>
      <c r="DB63" s="753"/>
      <c r="DC63" s="753"/>
      <c r="DD63" s="753"/>
      <c r="DE63" s="753"/>
      <c r="DF63" s="753"/>
      <c r="DG63" s="753"/>
      <c r="DH63" s="776"/>
      <c r="DI63" s="758"/>
      <c r="DM63" s="753"/>
      <c r="DN63" s="778"/>
      <c r="DO63" s="770"/>
      <c r="DR63" s="819"/>
    </row>
    <row r="64" spans="1:122" ht="12.75" customHeight="1">
      <c r="A64" s="857"/>
      <c r="B64" s="798" t="s">
        <v>82</v>
      </c>
      <c r="C64" s="389">
        <f>IF($C$46="N.A.","N.A.",IF(AND($C$63&lt;$C$61,$C$61&lt;$C$62),$C$61,IF($C$61&lt;$C$63,$C$63, IF($C$63&gt;=$C$62,$C$63,$C$62))))</f>
        <v>0.11877262222222222</v>
      </c>
      <c r="D64" s="773" t="s">
        <v>760</v>
      </c>
      <c r="E64" s="773"/>
      <c r="F64" s="773"/>
      <c r="G64" s="773"/>
      <c r="H64" s="773"/>
      <c r="I64" s="836"/>
      <c r="J64" s="33"/>
      <c r="K64" s="1265"/>
      <c r="L64" s="758"/>
      <c r="M64" s="758"/>
      <c r="N64" s="1296" t="s">
        <v>761</v>
      </c>
      <c r="O64" s="1298"/>
      <c r="P64" s="915"/>
      <c r="Q64" s="1313"/>
      <c r="R64" s="819"/>
      <c r="S64" s="819"/>
      <c r="T64" s="1308"/>
      <c r="U64" s="1425"/>
      <c r="V64" s="1309"/>
      <c r="W64" s="1309"/>
      <c r="X64" s="1309"/>
      <c r="Y64" s="1287"/>
      <c r="Z64" s="1287"/>
      <c r="AA64" s="1287"/>
      <c r="AB64" s="1287"/>
      <c r="AC64" s="1287"/>
      <c r="AD64" s="1287"/>
      <c r="AE64" s="1287"/>
      <c r="AF64" s="1287"/>
      <c r="AG64" s="1287"/>
      <c r="AH64" s="758"/>
      <c r="AI64" s="758"/>
      <c r="AJ64" s="758"/>
      <c r="AK64" s="758"/>
      <c r="AL64" s="758"/>
      <c r="AM64" s="758"/>
      <c r="AN64" s="758"/>
      <c r="AO64" s="758"/>
      <c r="CI64" s="753"/>
      <c r="CJ64" s="753"/>
      <c r="CK64" s="753"/>
      <c r="CL64" s="753"/>
      <c r="CM64" s="753"/>
      <c r="CN64" s="753"/>
      <c r="CO64" s="753"/>
      <c r="CP64" s="753"/>
      <c r="CQ64" s="753"/>
      <c r="CR64" s="753"/>
      <c r="CS64" s="753"/>
      <c r="CT64" s="753"/>
      <c r="CU64" s="753"/>
      <c r="CV64" s="753"/>
      <c r="CW64" s="753"/>
      <c r="CX64" s="753"/>
      <c r="CY64" s="753"/>
      <c r="CZ64" s="753"/>
      <c r="DA64" s="753"/>
      <c r="DB64" s="753"/>
      <c r="DC64" s="753"/>
      <c r="DD64" s="753"/>
      <c r="DE64" s="753"/>
      <c r="DF64" s="753"/>
      <c r="DG64" s="753"/>
      <c r="DH64" s="776"/>
      <c r="DI64" s="758"/>
      <c r="DM64" s="753"/>
      <c r="DN64" s="778"/>
      <c r="DO64" s="770"/>
      <c r="DR64" s="819"/>
    </row>
    <row r="65" spans="1:122" ht="12.75" customHeight="1">
      <c r="A65" s="857"/>
      <c r="B65" s="798" t="s">
        <v>762</v>
      </c>
      <c r="C65" s="1329">
        <f>IF($C$46="N.A.","N.A.",IF($C$49&gt;=0.06,$C$64*$C$60,0.3*$C$40*$C$60*$C$9))</f>
        <v>101.2897673216</v>
      </c>
      <c r="D65" s="841" t="s">
        <v>763</v>
      </c>
      <c r="E65" s="1057" t="str">
        <f>IF($C$49&gt;=0.06,"for Flexible: V = CS*W,  ASCE 7-10 Eqn. 12.8-1","for Rigid: V = (0.30*SDS*I)*W,  ASCE 7-10 Eqn. 15.4-5")</f>
        <v>for Rigid: V = (0.30*SDS*I)*W,  ASCE 7-10 Eqn. 15.4-5</v>
      </c>
      <c r="F65" s="780"/>
      <c r="G65" s="780"/>
      <c r="H65" s="780"/>
      <c r="I65" s="829"/>
      <c r="J65" s="33"/>
      <c r="K65" s="1265"/>
      <c r="L65" s="758"/>
      <c r="M65" s="758"/>
      <c r="N65" s="1281" t="s">
        <v>764</v>
      </c>
      <c r="O65" s="1281" t="s">
        <v>765</v>
      </c>
      <c r="P65" s="915"/>
      <c r="Q65" s="1312"/>
      <c r="R65" s="819"/>
      <c r="S65" s="819"/>
      <c r="T65" s="1314"/>
      <c r="U65" s="1426"/>
      <c r="V65" s="1309"/>
      <c r="W65" s="1309"/>
      <c r="X65" s="1309"/>
      <c r="Y65" s="1287"/>
      <c r="Z65" s="1287"/>
      <c r="AA65" s="1287"/>
      <c r="AB65" s="1287"/>
      <c r="AC65" s="1287"/>
      <c r="AD65" s="1287"/>
      <c r="AE65" s="1287"/>
      <c r="AF65" s="1287"/>
      <c r="AG65" s="1287"/>
      <c r="AH65" s="758"/>
      <c r="AI65" s="758"/>
      <c r="AJ65" s="758"/>
      <c r="AK65" s="758"/>
      <c r="AL65" s="758"/>
      <c r="AM65" s="758"/>
      <c r="AN65" s="758"/>
      <c r="AO65" s="758"/>
      <c r="CI65" s="753"/>
      <c r="CJ65" s="753"/>
      <c r="CK65" s="753"/>
      <c r="CL65" s="753"/>
      <c r="CM65" s="753"/>
      <c r="CN65" s="753"/>
      <c r="CO65" s="753"/>
      <c r="CP65" s="753"/>
      <c r="CQ65" s="753"/>
      <c r="CR65" s="753"/>
      <c r="CS65" s="753"/>
      <c r="CT65" s="753"/>
      <c r="CU65" s="753"/>
      <c r="CV65" s="753"/>
      <c r="CW65" s="753"/>
      <c r="CX65" s="753"/>
      <c r="CY65" s="753"/>
      <c r="CZ65" s="753"/>
      <c r="DA65" s="753"/>
      <c r="DB65" s="753"/>
      <c r="DC65" s="753"/>
      <c r="DD65" s="753"/>
      <c r="DE65" s="753"/>
      <c r="DF65" s="753"/>
      <c r="DG65" s="753"/>
      <c r="DH65" s="776"/>
      <c r="DI65" s="758"/>
      <c r="DM65" s="753"/>
      <c r="DN65" s="778"/>
      <c r="DO65" s="770"/>
      <c r="DR65" s="819"/>
    </row>
    <row r="66" spans="1:122" ht="12.75" customHeight="1">
      <c r="A66" s="857"/>
      <c r="B66" s="780"/>
      <c r="C66" s="55"/>
      <c r="D66" s="780"/>
      <c r="E66" s="780"/>
      <c r="F66" s="780"/>
      <c r="G66" s="780"/>
      <c r="H66" s="780"/>
      <c r="I66" s="829"/>
      <c r="J66" s="33"/>
      <c r="K66" s="1265"/>
      <c r="L66" s="758"/>
      <c r="M66" s="1315">
        <v>1</v>
      </c>
      <c r="N66" s="882">
        <v>0.15</v>
      </c>
      <c r="O66" s="1316">
        <v>9.2799999999999994</v>
      </c>
      <c r="P66" s="781"/>
      <c r="Q66" s="1312"/>
      <c r="R66" s="819"/>
      <c r="S66" s="819"/>
      <c r="T66" s="1294"/>
      <c r="U66" s="1425"/>
      <c r="V66" s="1309"/>
      <c r="W66" s="1309"/>
      <c r="X66" s="1309"/>
      <c r="Y66" s="1287"/>
      <c r="Z66" s="1287"/>
      <c r="AA66" s="1287"/>
      <c r="AB66" s="1287"/>
      <c r="AC66" s="1287"/>
      <c r="AD66" s="1287"/>
      <c r="AE66" s="1287"/>
      <c r="AF66" s="1287"/>
      <c r="AG66" s="1287"/>
      <c r="AH66" s="758"/>
      <c r="AI66" s="758"/>
      <c r="AJ66" s="758"/>
      <c r="AK66" s="758"/>
      <c r="AL66" s="758"/>
      <c r="AM66" s="758"/>
      <c r="AN66" s="758"/>
      <c r="AO66" s="758"/>
      <c r="CI66" s="753"/>
      <c r="CJ66" s="753"/>
      <c r="CK66" s="753"/>
      <c r="CL66" s="753"/>
      <c r="CM66" s="753"/>
      <c r="CN66" s="753"/>
      <c r="CO66" s="753"/>
      <c r="CP66" s="753"/>
      <c r="CQ66" s="753"/>
      <c r="CR66" s="753"/>
      <c r="CS66" s="753"/>
      <c r="CT66" s="753"/>
      <c r="CU66" s="753"/>
      <c r="CV66" s="753"/>
      <c r="CW66" s="753"/>
      <c r="CX66" s="753"/>
      <c r="CY66" s="753"/>
      <c r="CZ66" s="753"/>
      <c r="DA66" s="753"/>
      <c r="DB66" s="753"/>
      <c r="DC66" s="753"/>
      <c r="DD66" s="753"/>
      <c r="DE66" s="753"/>
      <c r="DF66" s="753"/>
      <c r="DG66" s="753"/>
      <c r="DH66" s="776"/>
      <c r="DI66" s="758"/>
      <c r="DM66" s="753"/>
      <c r="DN66" s="778"/>
      <c r="DO66" s="770"/>
      <c r="DR66" s="819"/>
    </row>
    <row r="67" spans="1:122" ht="12.75" customHeight="1">
      <c r="A67" s="859" t="s">
        <v>1218</v>
      </c>
      <c r="B67" s="780"/>
      <c r="C67" s="55"/>
      <c r="D67" s="780"/>
      <c r="E67" s="773"/>
      <c r="F67" s="773"/>
      <c r="G67" s="773"/>
      <c r="H67" s="871"/>
      <c r="I67" s="834"/>
      <c r="J67" s="33"/>
      <c r="K67" s="1265"/>
      <c r="L67" s="758"/>
      <c r="M67" s="1315">
        <v>2</v>
      </c>
      <c r="N67" s="897">
        <v>0.2</v>
      </c>
      <c r="O67" s="889">
        <v>8.35</v>
      </c>
      <c r="P67" s="819"/>
      <c r="Q67" s="1312"/>
      <c r="R67" s="819"/>
      <c r="S67" s="819"/>
      <c r="T67" s="1294"/>
      <c r="U67" s="1425"/>
      <c r="V67" s="1309"/>
      <c r="W67" s="1309"/>
      <c r="X67" s="1309"/>
      <c r="Y67" s="1287"/>
      <c r="Z67" s="1287"/>
      <c r="AA67" s="1287"/>
      <c r="AB67" s="1287"/>
      <c r="AC67" s="1287"/>
      <c r="AD67" s="1287"/>
      <c r="AE67" s="1287"/>
      <c r="AF67" s="1287"/>
      <c r="AG67" s="1287"/>
      <c r="AH67" s="758"/>
      <c r="AI67" s="758"/>
      <c r="AJ67" s="758"/>
      <c r="AK67" s="758"/>
      <c r="AL67" s="758"/>
      <c r="AM67" s="758"/>
      <c r="AN67" s="758"/>
      <c r="AO67" s="758"/>
      <c r="CI67" s="753"/>
      <c r="CJ67" s="753"/>
      <c r="CK67" s="753"/>
      <c r="CL67" s="753"/>
      <c r="CM67" s="753"/>
      <c r="CN67" s="753"/>
      <c r="CO67" s="753"/>
      <c r="CP67" s="753"/>
      <c r="CQ67" s="753"/>
      <c r="CR67" s="753"/>
      <c r="CS67" s="753"/>
      <c r="CT67" s="753"/>
      <c r="CU67" s="753"/>
      <c r="CV67" s="753"/>
      <c r="CW67" s="753"/>
      <c r="CX67" s="753"/>
      <c r="CY67" s="753"/>
      <c r="CZ67" s="753"/>
      <c r="DA67" s="753"/>
      <c r="DB67" s="753"/>
      <c r="DC67" s="753"/>
      <c r="DD67" s="753"/>
      <c r="DE67" s="753"/>
      <c r="DF67" s="753"/>
      <c r="DG67" s="753"/>
      <c r="DH67" s="776"/>
      <c r="DI67" s="758"/>
      <c r="DM67" s="753"/>
      <c r="DN67" s="778"/>
      <c r="DO67" s="770"/>
      <c r="DR67" s="819"/>
    </row>
    <row r="68" spans="1:122" ht="12.75" customHeight="1">
      <c r="A68" s="891" t="s">
        <v>707</v>
      </c>
      <c r="B68" s="780"/>
      <c r="C68" s="55"/>
      <c r="D68" s="780"/>
      <c r="E68" s="773"/>
      <c r="F68" s="773"/>
      <c r="G68" s="773"/>
      <c r="H68" s="871"/>
      <c r="I68" s="834"/>
      <c r="J68" s="53"/>
      <c r="K68" s="1265"/>
      <c r="L68" s="758"/>
      <c r="M68" s="1315">
        <v>3</v>
      </c>
      <c r="N68" s="897">
        <v>0.25</v>
      </c>
      <c r="O68" s="1317">
        <v>7.74</v>
      </c>
      <c r="P68" s="819"/>
      <c r="Q68" s="1312"/>
      <c r="R68" s="819"/>
      <c r="S68" s="819"/>
      <c r="T68" s="1294"/>
      <c r="U68" s="1294"/>
      <c r="V68" s="1309"/>
      <c r="W68" s="1309"/>
      <c r="X68" s="1309"/>
      <c r="Y68" s="1287"/>
      <c r="Z68" s="1287"/>
      <c r="AA68" s="1287"/>
      <c r="AB68" s="1287"/>
      <c r="AC68" s="1287"/>
      <c r="AD68" s="1287"/>
      <c r="AE68" s="1287"/>
      <c r="AF68" s="1287"/>
      <c r="AG68" s="1287"/>
      <c r="AH68" s="758"/>
      <c r="AI68" s="758"/>
      <c r="AJ68" s="758"/>
      <c r="AK68" s="758"/>
      <c r="AL68" s="758"/>
      <c r="AM68" s="758"/>
      <c r="AN68" s="758"/>
      <c r="AO68" s="758"/>
      <c r="CI68" s="753"/>
      <c r="CJ68" s="753"/>
      <c r="CK68" s="753"/>
      <c r="CL68" s="753"/>
      <c r="CM68" s="753"/>
      <c r="CN68" s="753"/>
      <c r="CO68" s="753"/>
      <c r="CP68" s="753"/>
      <c r="CQ68" s="753"/>
      <c r="CR68" s="753"/>
      <c r="CS68" s="753"/>
      <c r="CT68" s="753"/>
      <c r="CU68" s="753"/>
      <c r="CV68" s="753"/>
      <c r="CW68" s="753"/>
      <c r="CX68" s="753"/>
      <c r="CY68" s="753"/>
      <c r="CZ68" s="753"/>
      <c r="DA68" s="753"/>
      <c r="DB68" s="753"/>
      <c r="DC68" s="753"/>
      <c r="DD68" s="753"/>
      <c r="DE68" s="753"/>
      <c r="DF68" s="753"/>
      <c r="DG68" s="753"/>
      <c r="DH68" s="776"/>
      <c r="DI68" s="758"/>
      <c r="DM68" s="753"/>
      <c r="DN68" s="778"/>
      <c r="DO68" s="770"/>
      <c r="DR68" s="819"/>
    </row>
    <row r="69" spans="1:122" ht="12.75" customHeight="1">
      <c r="A69" s="892"/>
      <c r="B69" s="798" t="s">
        <v>766</v>
      </c>
      <c r="C69" s="1330" t="str">
        <f>IF($C$46="N.A.","N.A.",IF($C$25&gt;0,"N.A.",1))</f>
        <v>N.A.</v>
      </c>
      <c r="D69" s="773" t="s">
        <v>1225</v>
      </c>
      <c r="E69" s="773"/>
      <c r="F69" s="773"/>
      <c r="G69" s="773"/>
      <c r="H69" s="872"/>
      <c r="I69" s="834"/>
      <c r="J69" s="53"/>
      <c r="K69" s="758"/>
      <c r="L69" s="758"/>
      <c r="M69" s="1315">
        <v>4</v>
      </c>
      <c r="N69" s="1318">
        <v>0.3</v>
      </c>
      <c r="O69" s="889">
        <v>7.3</v>
      </c>
      <c r="P69" s="819"/>
      <c r="Q69" s="1312"/>
      <c r="R69" s="819"/>
      <c r="S69" s="819"/>
      <c r="T69" s="1294"/>
      <c r="U69" s="1294"/>
      <c r="V69" s="1309"/>
      <c r="W69" s="1309"/>
      <c r="X69" s="1309"/>
      <c r="Y69" s="1287"/>
      <c r="Z69" s="1287"/>
      <c r="AA69" s="1287"/>
      <c r="AB69" s="1287"/>
      <c r="AC69" s="1287"/>
      <c r="AD69" s="1287"/>
      <c r="AE69" s="1287"/>
      <c r="AF69" s="1287"/>
      <c r="AG69" s="1287"/>
      <c r="AH69" s="758"/>
      <c r="AI69" s="758"/>
      <c r="AJ69" s="758"/>
      <c r="AK69" s="758"/>
      <c r="AL69" s="758"/>
      <c r="AM69" s="758"/>
      <c r="AN69" s="758"/>
      <c r="AO69" s="758"/>
      <c r="CI69" s="753"/>
      <c r="CJ69" s="753"/>
      <c r="CK69" s="753"/>
      <c r="CL69" s="753"/>
      <c r="CM69" s="753"/>
      <c r="CN69" s="753"/>
      <c r="CO69" s="753"/>
      <c r="CP69" s="753"/>
      <c r="CQ69" s="753"/>
      <c r="CR69" s="753"/>
      <c r="CS69" s="753"/>
      <c r="CT69" s="753"/>
      <c r="CU69" s="753"/>
      <c r="CV69" s="753"/>
      <c r="CW69" s="753"/>
      <c r="CX69" s="753"/>
      <c r="CY69" s="753"/>
      <c r="CZ69" s="753"/>
      <c r="DA69" s="753"/>
      <c r="DB69" s="753"/>
      <c r="DC69" s="753"/>
      <c r="DD69" s="753"/>
      <c r="DE69" s="753"/>
      <c r="DF69" s="753"/>
      <c r="DG69" s="753"/>
      <c r="DH69" s="776"/>
      <c r="DI69" s="758"/>
      <c r="DM69" s="753"/>
      <c r="DN69" s="778"/>
      <c r="DO69" s="770"/>
      <c r="DR69" s="819"/>
    </row>
    <row r="70" spans="1:122" ht="12.75" customHeight="1">
      <c r="A70" s="892"/>
      <c r="B70" s="798" t="s">
        <v>767</v>
      </c>
      <c r="C70" s="1329" t="str">
        <f>IF($C$46="N.A.","N.A.",IF($C$25&gt;0,"N.A.",$C$69*$C$65))</f>
        <v>N.A.</v>
      </c>
      <c r="D70" s="841" t="s">
        <v>1226</v>
      </c>
      <c r="E70" s="773"/>
      <c r="F70" s="773"/>
      <c r="G70" s="773"/>
      <c r="H70" s="872"/>
      <c r="I70" s="834"/>
      <c r="J70" s="53"/>
      <c r="K70" s="758"/>
      <c r="L70" s="758"/>
      <c r="M70" s="1315">
        <v>5</v>
      </c>
      <c r="N70" s="897">
        <v>0.35</v>
      </c>
      <c r="O70" s="1317">
        <v>6.97</v>
      </c>
      <c r="P70" s="819"/>
      <c r="Q70" s="1312"/>
      <c r="R70" s="819"/>
      <c r="S70" s="819"/>
      <c r="T70" s="1308"/>
      <c r="U70" s="1294"/>
      <c r="V70" s="1309"/>
      <c r="W70" s="1309"/>
      <c r="X70" s="1309"/>
      <c r="Y70" s="1287"/>
      <c r="Z70" s="1287"/>
      <c r="AA70" s="1287"/>
      <c r="AB70" s="1287"/>
      <c r="AC70" s="1287"/>
      <c r="AD70" s="1287"/>
      <c r="AE70" s="1287"/>
      <c r="AF70" s="1287"/>
      <c r="AG70" s="1287"/>
      <c r="AH70" s="758"/>
      <c r="AI70" s="758"/>
      <c r="AJ70" s="758"/>
      <c r="AK70" s="758"/>
      <c r="AL70" s="758"/>
      <c r="AM70" s="758"/>
      <c r="AN70" s="758"/>
      <c r="AO70" s="758"/>
      <c r="CI70" s="753"/>
      <c r="CJ70" s="753"/>
      <c r="CK70" s="753"/>
      <c r="CL70" s="753"/>
      <c r="CM70" s="753"/>
      <c r="CN70" s="753"/>
      <c r="CO70" s="753"/>
      <c r="CP70" s="753"/>
      <c r="CQ70" s="753"/>
      <c r="CR70" s="753"/>
      <c r="CS70" s="753"/>
      <c r="CT70" s="753"/>
      <c r="CU70" s="753"/>
      <c r="CV70" s="753"/>
      <c r="CW70" s="753"/>
      <c r="CX70" s="753"/>
      <c r="CY70" s="753"/>
      <c r="CZ70" s="753"/>
      <c r="DA70" s="753"/>
      <c r="DB70" s="753"/>
      <c r="DC70" s="753"/>
      <c r="DD70" s="753"/>
      <c r="DE70" s="753"/>
      <c r="DF70" s="753"/>
      <c r="DG70" s="753"/>
      <c r="DH70" s="776"/>
      <c r="DI70" s="758"/>
      <c r="DM70" s="753"/>
      <c r="DN70" s="778"/>
      <c r="DO70" s="770"/>
      <c r="DR70" s="819"/>
    </row>
    <row r="71" spans="1:122" ht="12.75" customHeight="1">
      <c r="A71" s="892"/>
      <c r="B71" s="893"/>
      <c r="C71" s="1331"/>
      <c r="D71" s="873"/>
      <c r="E71" s="773"/>
      <c r="F71" s="773"/>
      <c r="G71" s="773"/>
      <c r="H71" s="872"/>
      <c r="I71" s="834"/>
      <c r="J71" s="53"/>
      <c r="K71" s="1265"/>
      <c r="L71" s="758"/>
      <c r="M71" s="1315">
        <v>6</v>
      </c>
      <c r="N71" s="897">
        <v>0.4</v>
      </c>
      <c r="O71" s="889">
        <v>6.7</v>
      </c>
      <c r="P71" s="819"/>
      <c r="Q71" s="1312"/>
      <c r="R71" s="819"/>
      <c r="S71" s="819"/>
      <c r="T71" s="1308"/>
      <c r="U71" s="1294"/>
      <c r="V71" s="1309"/>
      <c r="W71" s="1309"/>
      <c r="X71" s="1309"/>
      <c r="Y71" s="1287"/>
      <c r="Z71" s="1287"/>
      <c r="AA71" s="1287"/>
      <c r="AB71" s="1287"/>
      <c r="AC71" s="1287"/>
      <c r="AD71" s="1287"/>
      <c r="AE71" s="1287"/>
      <c r="AF71" s="1287"/>
      <c r="AG71" s="1287"/>
      <c r="AH71" s="758"/>
      <c r="AI71" s="758"/>
      <c r="AJ71" s="758"/>
      <c r="AK71" s="758"/>
      <c r="AL71" s="758"/>
      <c r="AM71" s="758"/>
      <c r="AN71" s="758"/>
      <c r="AO71" s="758"/>
      <c r="CI71" s="753"/>
      <c r="CJ71" s="753"/>
      <c r="CK71" s="753"/>
      <c r="CL71" s="753"/>
      <c r="CM71" s="753"/>
      <c r="CN71" s="753"/>
      <c r="CO71" s="753"/>
      <c r="CP71" s="753"/>
      <c r="CQ71" s="753"/>
      <c r="CR71" s="753"/>
      <c r="CS71" s="753"/>
      <c r="CT71" s="753"/>
      <c r="CU71" s="753"/>
      <c r="CV71" s="753"/>
      <c r="CW71" s="753"/>
      <c r="CX71" s="753"/>
      <c r="CY71" s="753"/>
      <c r="CZ71" s="753"/>
      <c r="DA71" s="753"/>
      <c r="DB71" s="753"/>
      <c r="DC71" s="753"/>
      <c r="DD71" s="753"/>
      <c r="DE71" s="753"/>
      <c r="DF71" s="753"/>
      <c r="DG71" s="753"/>
      <c r="DH71" s="776"/>
      <c r="DI71" s="758"/>
      <c r="DM71" s="753"/>
      <c r="DN71" s="778"/>
      <c r="DO71" s="770"/>
      <c r="DR71" s="819"/>
    </row>
    <row r="72" spans="1:122" ht="12.75" customHeight="1">
      <c r="A72" s="859" t="s">
        <v>1219</v>
      </c>
      <c r="B72" s="894"/>
      <c r="C72" s="231"/>
      <c r="D72" s="800"/>
      <c r="E72" s="773"/>
      <c r="F72" s="773"/>
      <c r="G72" s="773"/>
      <c r="H72" s="872"/>
      <c r="I72" s="834"/>
      <c r="J72" s="179"/>
      <c r="K72" s="774"/>
      <c r="L72" s="758"/>
      <c r="M72" s="1315">
        <v>7</v>
      </c>
      <c r="N72" s="897">
        <v>0.45</v>
      </c>
      <c r="O72" s="889">
        <v>6.5</v>
      </c>
      <c r="P72" s="819"/>
      <c r="Q72" s="1312"/>
      <c r="R72" s="819"/>
      <c r="S72" s="819"/>
      <c r="T72" s="1308"/>
      <c r="U72" s="1294"/>
      <c r="V72" s="1309"/>
      <c r="W72" s="1309"/>
      <c r="X72" s="1309"/>
      <c r="Y72" s="1287"/>
      <c r="Z72" s="1287"/>
      <c r="AA72" s="1287"/>
      <c r="AB72" s="1287"/>
      <c r="AC72" s="1287"/>
      <c r="AD72" s="1287"/>
      <c r="AE72" s="1287"/>
      <c r="AF72" s="1287"/>
      <c r="AG72" s="1287"/>
      <c r="AH72" s="758"/>
      <c r="AI72" s="773"/>
      <c r="AJ72" s="758"/>
      <c r="AK72" s="758"/>
      <c r="AL72" s="758"/>
      <c r="AM72" s="758"/>
      <c r="AN72" s="758"/>
      <c r="AO72" s="758"/>
      <c r="CI72" s="753"/>
      <c r="CJ72" s="753"/>
      <c r="CK72" s="753"/>
      <c r="CL72" s="753"/>
      <c r="CM72" s="753"/>
      <c r="CN72" s="753"/>
      <c r="CO72" s="753"/>
      <c r="CP72" s="753"/>
      <c r="CQ72" s="753"/>
      <c r="CR72" s="753"/>
      <c r="CS72" s="753"/>
      <c r="CT72" s="753"/>
      <c r="CU72" s="753"/>
      <c r="CV72" s="753"/>
      <c r="CW72" s="753"/>
      <c r="CX72" s="753"/>
      <c r="CY72" s="753"/>
      <c r="CZ72" s="753"/>
      <c r="DA72" s="753"/>
      <c r="DB72" s="753"/>
      <c r="DC72" s="753"/>
      <c r="DD72" s="753"/>
      <c r="DE72" s="753"/>
      <c r="DF72" s="753"/>
      <c r="DG72" s="753"/>
      <c r="DH72" s="776"/>
      <c r="DI72" s="758"/>
      <c r="DM72" s="753"/>
      <c r="DN72" s="778"/>
      <c r="DO72" s="770"/>
      <c r="DR72" s="819"/>
    </row>
    <row r="73" spans="1:122" ht="12.75" customHeight="1">
      <c r="A73" s="892"/>
      <c r="B73" s="895" t="s">
        <v>768</v>
      </c>
      <c r="C73" s="1332">
        <f>IF($C$46="N.A.","N.A.",IF($C$25=0,$C$70*(2*$C$15/3),IF($C$49&gt;=0.06,$C$64*($C$20*$C$15+$C$21*$C$15/2+$C$25*$C$24/2),(0.3*$C$40*$C$9)*($C$20*$C$15+$C$21*$C$15/2+$C$25*$C$24/2))))</f>
        <v>1056.5163248639999</v>
      </c>
      <c r="D73" s="852" t="s">
        <v>769</v>
      </c>
      <c r="E73" s="773" t="s">
        <v>770</v>
      </c>
      <c r="F73" s="773"/>
      <c r="G73" s="773"/>
      <c r="H73" s="872"/>
      <c r="I73" s="834"/>
      <c r="J73" s="210"/>
      <c r="K73" s="819"/>
      <c r="L73" s="758"/>
      <c r="M73" s="1319">
        <v>8</v>
      </c>
      <c r="N73" s="897">
        <v>0.5</v>
      </c>
      <c r="O73" s="1317">
        <v>6.36</v>
      </c>
      <c r="P73" s="819"/>
      <c r="Q73" s="1312"/>
      <c r="R73" s="819"/>
      <c r="S73" s="819"/>
      <c r="T73" s="1308"/>
      <c r="U73" s="1294"/>
      <c r="V73" s="1309"/>
      <c r="W73" s="1309"/>
      <c r="X73" s="1309"/>
      <c r="Y73" s="1287"/>
      <c r="Z73" s="1287"/>
      <c r="AA73" s="1287"/>
      <c r="AB73" s="1287"/>
      <c r="AC73" s="1287"/>
      <c r="AD73" s="1287"/>
      <c r="AE73" s="1287"/>
      <c r="AF73" s="1287"/>
      <c r="AG73" s="1287"/>
      <c r="AH73" s="758"/>
      <c r="AI73" s="773"/>
      <c r="AJ73" s="758"/>
      <c r="AK73" s="758"/>
      <c r="AL73" s="758"/>
      <c r="AM73" s="758"/>
      <c r="AN73" s="758"/>
      <c r="AO73" s="758"/>
      <c r="CI73" s="753"/>
      <c r="CJ73" s="753"/>
      <c r="CK73" s="753"/>
      <c r="CL73" s="753"/>
      <c r="CM73" s="753"/>
      <c r="CN73" s="753"/>
      <c r="CO73" s="753"/>
      <c r="CP73" s="753"/>
      <c r="CQ73" s="753"/>
      <c r="CR73" s="753"/>
      <c r="CS73" s="753"/>
      <c r="CT73" s="753"/>
      <c r="CU73" s="753"/>
      <c r="CV73" s="753"/>
      <c r="CW73" s="753"/>
      <c r="CX73" s="753"/>
      <c r="CY73" s="753"/>
      <c r="CZ73" s="753"/>
      <c r="DA73" s="753"/>
      <c r="DB73" s="753"/>
      <c r="DC73" s="753"/>
      <c r="DD73" s="753"/>
      <c r="DE73" s="753"/>
      <c r="DF73" s="753"/>
      <c r="DG73" s="753"/>
      <c r="DH73" s="776"/>
      <c r="DI73" s="758"/>
      <c r="DM73" s="753"/>
      <c r="DN73" s="778"/>
      <c r="DO73" s="770"/>
      <c r="DR73" s="819"/>
    </row>
    <row r="74" spans="1:122" ht="12.75" customHeight="1">
      <c r="A74" s="857"/>
      <c r="B74" s="780"/>
      <c r="C74" s="1333"/>
      <c r="D74" s="780"/>
      <c r="E74" s="780"/>
      <c r="F74" s="780"/>
      <c r="G74" s="780"/>
      <c r="H74" s="780"/>
      <c r="I74" s="829"/>
      <c r="J74" s="53"/>
      <c r="K74" s="1265"/>
      <c r="L74" s="758"/>
      <c r="M74" s="1319">
        <v>9</v>
      </c>
      <c r="N74" s="897">
        <v>0.55000000000000004</v>
      </c>
      <c r="O74" s="889">
        <v>6.25</v>
      </c>
      <c r="P74" s="819"/>
      <c r="Q74" s="1312"/>
      <c r="R74" s="819"/>
      <c r="S74" s="819"/>
      <c r="T74" s="1308"/>
      <c r="U74" s="1294"/>
      <c r="V74" s="1309"/>
      <c r="W74" s="1309"/>
      <c r="X74" s="1309"/>
      <c r="Y74" s="1287"/>
      <c r="Z74" s="1287"/>
      <c r="AA74" s="1287"/>
      <c r="AB74" s="1287"/>
      <c r="AC74" s="1287"/>
      <c r="AD74" s="1287"/>
      <c r="AE74" s="1287"/>
      <c r="AF74" s="1287"/>
      <c r="AG74" s="1287"/>
      <c r="AH74" s="758"/>
      <c r="AI74" s="758"/>
      <c r="AJ74" s="758"/>
      <c r="AK74" s="758"/>
      <c r="AL74" s="758"/>
      <c r="AM74" s="758"/>
      <c r="AN74" s="758"/>
      <c r="AO74" s="758"/>
      <c r="CI74" s="753"/>
      <c r="CJ74" s="753"/>
      <c r="CK74" s="753"/>
      <c r="CL74" s="753"/>
      <c r="CM74" s="753"/>
      <c r="CN74" s="753"/>
      <c r="CO74" s="753"/>
      <c r="CP74" s="753"/>
      <c r="CQ74" s="753"/>
      <c r="CR74" s="753"/>
      <c r="CS74" s="753"/>
      <c r="CT74" s="753"/>
      <c r="CU74" s="753"/>
      <c r="CV74" s="753"/>
      <c r="CW74" s="753"/>
      <c r="CX74" s="753"/>
      <c r="CY74" s="753"/>
      <c r="CZ74" s="753"/>
      <c r="DA74" s="753"/>
      <c r="DB74" s="753"/>
      <c r="DC74" s="753"/>
      <c r="DD74" s="753"/>
      <c r="DE74" s="753"/>
      <c r="DF74" s="753"/>
      <c r="DG74" s="753"/>
      <c r="DH74" s="776"/>
      <c r="DI74" s="758"/>
      <c r="DM74" s="753"/>
      <c r="DN74" s="778"/>
      <c r="DO74" s="770"/>
      <c r="DR74" s="819"/>
    </row>
    <row r="75" spans="1:122" ht="12.75" customHeight="1">
      <c r="A75" s="857"/>
      <c r="B75" s="780"/>
      <c r="C75" s="55"/>
      <c r="D75" s="874"/>
      <c r="E75" s="780"/>
      <c r="F75" s="780"/>
      <c r="G75" s="780"/>
      <c r="H75" s="780"/>
      <c r="I75" s="829"/>
      <c r="J75" s="53"/>
      <c r="K75" s="1265"/>
      <c r="L75" s="758"/>
      <c r="M75" s="1319">
        <v>10</v>
      </c>
      <c r="N75" s="897">
        <v>0.6</v>
      </c>
      <c r="O75" s="889">
        <v>6.19</v>
      </c>
      <c r="P75" s="819"/>
      <c r="Q75" s="1312"/>
      <c r="R75" s="819"/>
      <c r="S75" s="819"/>
      <c r="T75" s="1308"/>
      <c r="U75" s="1425"/>
      <c r="V75" s="1309"/>
      <c r="W75" s="1309"/>
      <c r="X75" s="1309"/>
      <c r="Y75" s="1287"/>
      <c r="Z75" s="1287"/>
      <c r="AA75" s="1287"/>
      <c r="AB75" s="1287"/>
      <c r="AC75" s="1287"/>
      <c r="AD75" s="1287"/>
      <c r="AE75" s="1287"/>
      <c r="AF75" s="1287"/>
      <c r="AG75" s="1287"/>
      <c r="AH75" s="758"/>
      <c r="AI75" s="758"/>
      <c r="AJ75" s="758"/>
      <c r="AK75" s="758"/>
      <c r="AL75" s="758"/>
      <c r="AM75" s="758"/>
      <c r="AN75" s="758"/>
      <c r="AO75" s="758"/>
      <c r="CI75" s="753"/>
      <c r="CJ75" s="753"/>
      <c r="CK75" s="753"/>
      <c r="CL75" s="753"/>
      <c r="CM75" s="753"/>
      <c r="CN75" s="753"/>
      <c r="CO75" s="753"/>
      <c r="CP75" s="753"/>
      <c r="CQ75" s="753"/>
      <c r="CR75" s="753"/>
      <c r="CS75" s="753"/>
      <c r="CT75" s="753"/>
      <c r="CU75" s="753"/>
      <c r="CV75" s="753"/>
      <c r="CW75" s="753"/>
      <c r="CX75" s="753"/>
      <c r="CY75" s="753"/>
      <c r="CZ75" s="753"/>
      <c r="DA75" s="753"/>
      <c r="DB75" s="753"/>
      <c r="DC75" s="753"/>
      <c r="DD75" s="753"/>
      <c r="DE75" s="753"/>
      <c r="DF75" s="753"/>
      <c r="DG75" s="753"/>
      <c r="DH75" s="776"/>
      <c r="DI75" s="758"/>
      <c r="DM75" s="753"/>
      <c r="DN75" s="778"/>
      <c r="DO75" s="770"/>
      <c r="DR75" s="819"/>
    </row>
    <row r="76" spans="1:122" ht="12.75" customHeight="1">
      <c r="A76" s="854" t="s">
        <v>1220</v>
      </c>
      <c r="B76" s="780"/>
      <c r="C76" s="55"/>
      <c r="D76" s="780"/>
      <c r="E76" s="798"/>
      <c r="F76" s="810"/>
      <c r="G76" s="773"/>
      <c r="H76" s="773"/>
      <c r="I76" s="836"/>
      <c r="J76" s="44"/>
      <c r="K76" s="1265"/>
      <c r="L76" s="758"/>
      <c r="M76" s="1319">
        <v>11</v>
      </c>
      <c r="N76" s="897">
        <v>0.65</v>
      </c>
      <c r="O76" s="889">
        <v>6.12</v>
      </c>
      <c r="P76" s="819"/>
      <c r="Q76" s="1312"/>
      <c r="R76" s="819"/>
      <c r="S76" s="819"/>
      <c r="T76" s="1308"/>
      <c r="U76" s="1426"/>
      <c r="V76" s="1309"/>
      <c r="W76" s="1309"/>
      <c r="X76" s="1309"/>
      <c r="Y76" s="1287"/>
      <c r="Z76" s="1287"/>
      <c r="AA76" s="1287"/>
      <c r="AB76" s="1287"/>
      <c r="AC76" s="1287"/>
      <c r="AD76" s="1287"/>
      <c r="AE76" s="1287"/>
      <c r="AF76" s="1287"/>
      <c r="AG76" s="1287"/>
      <c r="AH76" s="758"/>
      <c r="AI76" s="758"/>
      <c r="AJ76" s="758"/>
      <c r="AK76" s="758"/>
      <c r="AL76" s="758"/>
      <c r="AM76" s="758"/>
      <c r="AN76" s="758"/>
      <c r="AO76" s="758"/>
      <c r="CI76" s="753"/>
      <c r="CJ76" s="753"/>
      <c r="CK76" s="753"/>
      <c r="CL76" s="753"/>
      <c r="CM76" s="753"/>
      <c r="CN76" s="753"/>
      <c r="CO76" s="753"/>
      <c r="CP76" s="753"/>
      <c r="CQ76" s="753"/>
      <c r="CR76" s="753"/>
      <c r="CS76" s="753"/>
      <c r="CT76" s="753"/>
      <c r="CU76" s="753"/>
      <c r="CV76" s="753"/>
      <c r="CW76" s="753"/>
      <c r="CX76" s="753"/>
      <c r="CY76" s="753"/>
      <c r="CZ76" s="753"/>
      <c r="DA76" s="753"/>
      <c r="DB76" s="753"/>
      <c r="DC76" s="753"/>
      <c r="DD76" s="753"/>
      <c r="DE76" s="753"/>
      <c r="DF76" s="753"/>
      <c r="DG76" s="753"/>
      <c r="DH76" s="776"/>
      <c r="DI76" s="758"/>
      <c r="DM76" s="753"/>
      <c r="DN76" s="778"/>
      <c r="DO76" s="770"/>
      <c r="DR76" s="819"/>
    </row>
    <row r="77" spans="1:122" ht="12.75" customHeight="1">
      <c r="A77" s="857"/>
      <c r="B77" s="896" t="s">
        <v>771</v>
      </c>
      <c r="C77" s="1328">
        <f>IF($P$61="Yes",$O$97,"N.A.")</f>
        <v>6.1133333333333333</v>
      </c>
      <c r="D77" s="780" t="s">
        <v>772</v>
      </c>
      <c r="E77" s="780"/>
      <c r="F77" s="780"/>
      <c r="G77" s="780"/>
      <c r="H77" s="780"/>
      <c r="I77" s="829"/>
      <c r="J77" s="44"/>
      <c r="K77" s="1265"/>
      <c r="L77" s="758"/>
      <c r="M77" s="1319">
        <v>12</v>
      </c>
      <c r="N77" s="897">
        <v>0.7</v>
      </c>
      <c r="O77" s="889">
        <v>6.1</v>
      </c>
      <c r="P77" s="819"/>
      <c r="Q77" s="1312"/>
      <c r="R77" s="819"/>
      <c r="S77" s="819"/>
      <c r="T77" s="1294"/>
      <c r="U77" s="1425"/>
      <c r="V77" s="1309"/>
      <c r="W77" s="1309"/>
      <c r="X77" s="1309"/>
      <c r="Y77" s="1287"/>
      <c r="Z77" s="1287"/>
      <c r="AA77" s="1287"/>
      <c r="AB77" s="1287"/>
      <c r="AC77" s="1287"/>
      <c r="AD77" s="1287"/>
      <c r="AE77" s="1287"/>
      <c r="AF77" s="1287"/>
      <c r="AG77" s="1287"/>
      <c r="AH77" s="758"/>
      <c r="AI77" s="758"/>
      <c r="AJ77" s="758"/>
      <c r="AK77" s="758"/>
      <c r="AL77" s="758"/>
      <c r="AM77" s="758"/>
      <c r="AN77" s="758"/>
      <c r="AO77" s="758"/>
      <c r="CI77" s="753"/>
      <c r="CJ77" s="753"/>
      <c r="CK77" s="753"/>
      <c r="CL77" s="753"/>
      <c r="CM77" s="753"/>
      <c r="CN77" s="753"/>
      <c r="CO77" s="753"/>
      <c r="CP77" s="753"/>
      <c r="CQ77" s="753"/>
      <c r="CR77" s="753"/>
      <c r="CS77" s="753"/>
      <c r="CT77" s="753"/>
      <c r="CU77" s="753"/>
      <c r="CV77" s="753"/>
      <c r="CW77" s="753"/>
      <c r="CX77" s="753"/>
      <c r="CY77" s="753"/>
      <c r="CZ77" s="753"/>
      <c r="DA77" s="753"/>
      <c r="DB77" s="753"/>
      <c r="DC77" s="753"/>
      <c r="DD77" s="753"/>
      <c r="DE77" s="753"/>
      <c r="DF77" s="753"/>
      <c r="DG77" s="753"/>
      <c r="DH77" s="776"/>
      <c r="DI77" s="758"/>
      <c r="DM77" s="753"/>
      <c r="DN77" s="778"/>
      <c r="DO77" s="770"/>
      <c r="DR77" s="819"/>
    </row>
    <row r="78" spans="1:122" ht="12.75" customHeight="1">
      <c r="A78" s="857"/>
      <c r="B78" s="798" t="s">
        <v>773</v>
      </c>
      <c r="C78" s="389">
        <f>IF($P$61="Yes",1/27.8*$C$77*$C$24*SQRT($C$23/($C$19*1000))/SQRT($C$17/$C$16),"N.A.")</f>
        <v>5.7703421569210891E-2</v>
      </c>
      <c r="D78" s="875" t="s">
        <v>774</v>
      </c>
      <c r="E78" s="780"/>
      <c r="F78" s="780"/>
      <c r="G78" s="780"/>
      <c r="H78" s="753"/>
      <c r="I78" s="834"/>
      <c r="K78" s="758"/>
      <c r="L78" s="758"/>
      <c r="M78" s="1319">
        <v>13</v>
      </c>
      <c r="N78" s="897">
        <v>0.75</v>
      </c>
      <c r="O78" s="1317">
        <v>6.06</v>
      </c>
      <c r="P78" s="819"/>
      <c r="Q78" s="1312"/>
      <c r="R78" s="819"/>
      <c r="S78" s="819"/>
      <c r="T78" s="1294"/>
      <c r="U78" s="1426"/>
      <c r="V78" s="1309"/>
      <c r="W78" s="1309"/>
      <c r="X78" s="1309"/>
      <c r="Y78" s="1287"/>
      <c r="Z78" s="1287"/>
      <c r="AA78" s="1287"/>
      <c r="AB78" s="1287"/>
      <c r="AC78" s="1287"/>
      <c r="AD78" s="1287"/>
      <c r="AE78" s="1287"/>
      <c r="AF78" s="1287"/>
      <c r="AG78" s="1287"/>
      <c r="AH78" s="758"/>
      <c r="AI78" s="758"/>
      <c r="AJ78" s="758"/>
      <c r="AK78" s="758"/>
      <c r="AL78" s="758"/>
      <c r="AM78" s="758"/>
      <c r="AN78" s="758"/>
      <c r="AO78" s="758"/>
      <c r="CI78" s="753"/>
      <c r="CJ78" s="753"/>
      <c r="CK78" s="753"/>
      <c r="CL78" s="753"/>
      <c r="CM78" s="753"/>
      <c r="CN78" s="753"/>
      <c r="CO78" s="753"/>
      <c r="CP78" s="753"/>
      <c r="CQ78" s="753"/>
      <c r="CR78" s="753"/>
      <c r="CS78" s="753"/>
      <c r="CT78" s="753"/>
      <c r="CU78" s="753"/>
      <c r="CV78" s="753"/>
      <c r="CW78" s="753"/>
      <c r="CX78" s="753"/>
      <c r="CY78" s="753"/>
      <c r="CZ78" s="753"/>
      <c r="DA78" s="753"/>
      <c r="DB78" s="753"/>
      <c r="DC78" s="753"/>
      <c r="DD78" s="753"/>
      <c r="DE78" s="753"/>
      <c r="DF78" s="753"/>
      <c r="DG78" s="753"/>
      <c r="DH78" s="776"/>
      <c r="DI78" s="758"/>
      <c r="DM78" s="753"/>
      <c r="DN78" s="778"/>
      <c r="DO78" s="770"/>
      <c r="DR78" s="819"/>
    </row>
    <row r="79" spans="1:122" ht="12.75" customHeight="1">
      <c r="A79" s="857"/>
      <c r="B79" s="798" t="s">
        <v>775</v>
      </c>
      <c r="C79" s="389">
        <f>IF($P$61="Yes",$C$41/$C$40,"N.A.")</f>
        <v>0.47121970495258159</v>
      </c>
      <c r="D79" s="875" t="s">
        <v>1229</v>
      </c>
      <c r="E79" s="780"/>
      <c r="F79" s="780"/>
      <c r="G79" s="780"/>
      <c r="H79" s="773"/>
      <c r="I79" s="836"/>
      <c r="J79" s="723"/>
      <c r="K79" s="779"/>
      <c r="L79" s="758"/>
      <c r="M79" s="1319">
        <v>14</v>
      </c>
      <c r="N79" s="897">
        <v>0.8</v>
      </c>
      <c r="O79" s="889">
        <v>6.05</v>
      </c>
      <c r="P79" s="819"/>
      <c r="Q79" s="758"/>
      <c r="R79" s="758"/>
      <c r="S79" s="758"/>
      <c r="T79" s="1294"/>
      <c r="U79" s="1294"/>
      <c r="V79" s="1309"/>
      <c r="W79" s="1309"/>
      <c r="X79" s="1309"/>
      <c r="Y79" s="1287"/>
      <c r="Z79" s="1287"/>
      <c r="AA79" s="1287"/>
      <c r="AB79" s="1287"/>
      <c r="AC79" s="1287"/>
      <c r="AD79" s="1287"/>
      <c r="AE79" s="1287"/>
      <c r="AF79" s="1287"/>
      <c r="AG79" s="1287"/>
      <c r="AH79" s="758"/>
      <c r="AI79" s="758"/>
      <c r="AJ79" s="758"/>
      <c r="AK79" s="758"/>
      <c r="AL79" s="758"/>
      <c r="AM79" s="758"/>
      <c r="AN79" s="758"/>
      <c r="AO79" s="758"/>
      <c r="CI79" s="753"/>
      <c r="CJ79" s="753"/>
      <c r="CK79" s="753"/>
      <c r="CL79" s="753"/>
      <c r="CM79" s="753"/>
      <c r="CN79" s="753"/>
      <c r="CO79" s="753"/>
      <c r="CP79" s="753"/>
      <c r="CQ79" s="753"/>
      <c r="CR79" s="753"/>
      <c r="CS79" s="753"/>
      <c r="CT79" s="753"/>
      <c r="CU79" s="753"/>
      <c r="CV79" s="753"/>
      <c r="CW79" s="753"/>
      <c r="CX79" s="753"/>
      <c r="CY79" s="753"/>
      <c r="CZ79" s="753"/>
      <c r="DA79" s="753"/>
      <c r="DB79" s="753"/>
      <c r="DC79" s="753"/>
      <c r="DD79" s="753"/>
      <c r="DE79" s="753"/>
      <c r="DF79" s="753"/>
      <c r="DG79" s="753"/>
      <c r="DH79" s="776"/>
      <c r="DI79" s="758"/>
      <c r="DM79" s="753"/>
      <c r="DN79" s="778"/>
      <c r="DO79" s="770"/>
      <c r="DR79" s="819"/>
    </row>
    <row r="80" spans="1:122" ht="12.75" customHeight="1">
      <c r="A80" s="857"/>
      <c r="B80" s="798" t="s">
        <v>776</v>
      </c>
      <c r="C80" s="389">
        <f>IF($P$61="Yes",2*PI()*SQRT($C$16/(3.68*32.2*TANH(3.68*$C$15/$C$16))),"N.A.")</f>
        <v>3.1634789432300723</v>
      </c>
      <c r="D80" s="875" t="s">
        <v>777</v>
      </c>
      <c r="E80" s="780"/>
      <c r="F80" s="780"/>
      <c r="G80" s="780"/>
      <c r="H80" s="773"/>
      <c r="I80" s="836"/>
      <c r="J80" s="723"/>
      <c r="K80" s="779"/>
      <c r="L80" s="758"/>
      <c r="M80" s="1319">
        <v>15</v>
      </c>
      <c r="N80" s="897">
        <v>0.85</v>
      </c>
      <c r="O80" s="889">
        <v>6.0750000000000002</v>
      </c>
      <c r="P80" s="781"/>
      <c r="Q80" s="781"/>
      <c r="R80" s="781"/>
      <c r="S80" s="781"/>
      <c r="T80" s="1294"/>
      <c r="U80" s="1294"/>
      <c r="V80" s="1309"/>
      <c r="W80" s="1309"/>
      <c r="X80" s="1309"/>
      <c r="Y80" s="1287"/>
      <c r="Z80" s="1287"/>
      <c r="AA80" s="1287"/>
      <c r="AB80" s="1287"/>
      <c r="AC80" s="1287"/>
      <c r="AD80" s="1287"/>
      <c r="AE80" s="1287"/>
      <c r="AF80" s="1287"/>
      <c r="AG80" s="1287"/>
      <c r="AH80" s="758"/>
      <c r="AI80" s="758"/>
      <c r="AJ80" s="758"/>
      <c r="AK80" s="758"/>
      <c r="AL80" s="758"/>
      <c r="AM80" s="758"/>
      <c r="AN80" s="758"/>
      <c r="AO80" s="758"/>
      <c r="CI80" s="753"/>
      <c r="CJ80" s="753"/>
      <c r="CK80" s="753"/>
      <c r="CL80" s="753"/>
      <c r="CM80" s="753"/>
      <c r="CN80" s="753"/>
      <c r="CO80" s="753"/>
      <c r="CP80" s="753"/>
      <c r="CQ80" s="753"/>
      <c r="CR80" s="753"/>
      <c r="CS80" s="753"/>
      <c r="CT80" s="753"/>
      <c r="CU80" s="753"/>
      <c r="CV80" s="753"/>
      <c r="CW80" s="753"/>
      <c r="CX80" s="753"/>
      <c r="CY80" s="753"/>
      <c r="CZ80" s="753"/>
      <c r="DA80" s="753"/>
      <c r="DB80" s="753"/>
      <c r="DC80" s="753"/>
      <c r="DD80" s="753"/>
      <c r="DE80" s="753"/>
      <c r="DF80" s="753"/>
      <c r="DG80" s="753"/>
      <c r="DH80" s="776"/>
      <c r="DI80" s="758"/>
      <c r="DM80" s="753"/>
      <c r="DN80" s="778"/>
      <c r="DO80" s="770"/>
      <c r="DR80" s="819"/>
    </row>
    <row r="81" spans="1:122" ht="12.75" customHeight="1">
      <c r="A81" s="857"/>
      <c r="B81" s="798" t="s">
        <v>778</v>
      </c>
      <c r="C81" s="389">
        <f>IF($P$61="Yes",IF($C$78&lt;=$C$79,$C$40,IF(AND($C$78&gt;$C$79,$C$78&lt;=$C$14),$C$41/$C$78,$C$41*$C$14/($C$78^2))),"N.A.")</f>
        <v>0.35631786666666665</v>
      </c>
      <c r="D81" s="874" t="s">
        <v>1231</v>
      </c>
      <c r="E81" s="780"/>
      <c r="F81" s="780"/>
      <c r="G81" s="780"/>
      <c r="H81" s="773"/>
      <c r="I81" s="836"/>
      <c r="J81" s="33"/>
      <c r="K81" s="1265"/>
      <c r="L81" s="758"/>
      <c r="M81" s="1319">
        <v>16</v>
      </c>
      <c r="N81" s="897">
        <v>0.9</v>
      </c>
      <c r="O81" s="889">
        <v>6.1</v>
      </c>
      <c r="P81" s="781"/>
      <c r="Q81" s="781"/>
      <c r="R81" s="781"/>
      <c r="S81" s="781"/>
      <c r="T81" s="1308"/>
      <c r="U81" s="1294"/>
      <c r="V81" s="1294"/>
      <c r="W81" s="1294"/>
      <c r="X81" s="1294"/>
      <c r="Y81" s="1294"/>
      <c r="Z81" s="1294"/>
      <c r="AA81" s="1294"/>
      <c r="AB81" s="1294"/>
      <c r="AC81" s="1294"/>
      <c r="AD81" s="1294"/>
      <c r="AE81" s="1294"/>
      <c r="AF81" s="1294"/>
      <c r="AG81" s="1294"/>
      <c r="AH81" s="758"/>
      <c r="AI81" s="758"/>
      <c r="AJ81" s="758"/>
      <c r="AK81" s="758"/>
      <c r="AL81" s="758"/>
      <c r="AM81" s="758"/>
      <c r="AN81" s="758"/>
      <c r="AO81" s="758"/>
      <c r="CI81" s="753"/>
      <c r="CJ81" s="753"/>
      <c r="CK81" s="753"/>
      <c r="CL81" s="753"/>
      <c r="CM81" s="753"/>
      <c r="CN81" s="753"/>
      <c r="CO81" s="753"/>
      <c r="CP81" s="753"/>
      <c r="CQ81" s="753"/>
      <c r="CR81" s="753"/>
      <c r="CS81" s="753"/>
      <c r="CT81" s="753"/>
      <c r="CU81" s="753"/>
      <c r="CV81" s="753"/>
      <c r="CW81" s="753"/>
      <c r="CX81" s="753"/>
      <c r="CY81" s="753"/>
      <c r="CZ81" s="753"/>
      <c r="DA81" s="753"/>
      <c r="DB81" s="753"/>
      <c r="DC81" s="753"/>
      <c r="DD81" s="753"/>
      <c r="DE81" s="753"/>
      <c r="DF81" s="753"/>
      <c r="DG81" s="753"/>
      <c r="DH81" s="776"/>
      <c r="DI81" s="758"/>
      <c r="DM81" s="753"/>
      <c r="DN81" s="778"/>
      <c r="DO81" s="770"/>
      <c r="DR81" s="819"/>
    </row>
    <row r="82" spans="1:122" ht="12.75" customHeight="1">
      <c r="A82" s="857"/>
      <c r="B82" s="798" t="s">
        <v>779</v>
      </c>
      <c r="C82" s="389">
        <f>IF($P$61="Yes",IF($C$80&lt;=$C$14,MIN(1.5*$C$41/$C$80,1.5*$C$40),1.5*$C$41*$C$14/$C$80^2),"N.A.")</f>
        <v>7.9613616692147865E-2</v>
      </c>
      <c r="D82" s="874" t="s">
        <v>780</v>
      </c>
      <c r="E82" s="780"/>
      <c r="F82" s="780"/>
      <c r="G82" s="780"/>
      <c r="H82" s="773"/>
      <c r="I82" s="836"/>
      <c r="J82" s="33"/>
      <c r="K82" s="1265"/>
      <c r="L82" s="758"/>
      <c r="M82" s="1320">
        <v>17</v>
      </c>
      <c r="N82" s="897">
        <v>0.95</v>
      </c>
      <c r="O82" s="889">
        <v>6.15</v>
      </c>
      <c r="P82" s="781"/>
      <c r="Q82" s="781"/>
      <c r="R82" s="781"/>
      <c r="S82" s="781"/>
      <c r="T82" s="1308"/>
      <c r="U82" s="1294"/>
      <c r="V82" s="1309"/>
      <c r="W82" s="1309"/>
      <c r="X82" s="1309"/>
      <c r="Y82" s="1287"/>
      <c r="Z82" s="1287"/>
      <c r="AA82" s="1287"/>
      <c r="AB82" s="1287"/>
      <c r="AC82" s="1287"/>
      <c r="AD82" s="1287"/>
      <c r="AE82" s="1287"/>
      <c r="AF82" s="1287"/>
      <c r="AG82" s="1287"/>
      <c r="AH82" s="758"/>
      <c r="AI82" s="758"/>
      <c r="AJ82" s="758"/>
      <c r="AK82" s="758"/>
      <c r="AL82" s="758"/>
      <c r="AM82" s="758"/>
      <c r="AN82" s="758"/>
      <c r="AO82" s="758"/>
      <c r="CI82" s="753"/>
      <c r="CJ82" s="753"/>
      <c r="CK82" s="753"/>
      <c r="CL82" s="753"/>
      <c r="CM82" s="753"/>
      <c r="CN82" s="753"/>
      <c r="CO82" s="753"/>
      <c r="CP82" s="753"/>
      <c r="CQ82" s="753"/>
      <c r="CR82" s="753"/>
      <c r="CS82" s="753"/>
      <c r="CT82" s="753"/>
      <c r="CU82" s="753"/>
      <c r="CV82" s="753"/>
      <c r="CW82" s="753"/>
      <c r="CX82" s="753"/>
      <c r="CY82" s="753"/>
      <c r="CZ82" s="753"/>
      <c r="DA82" s="753"/>
      <c r="DB82" s="753"/>
      <c r="DC82" s="753"/>
      <c r="DD82" s="753"/>
      <c r="DE82" s="753"/>
      <c r="DF82" s="753"/>
      <c r="DG82" s="753"/>
      <c r="DH82" s="776"/>
      <c r="DI82" s="758"/>
      <c r="DM82" s="753"/>
      <c r="DN82" s="778"/>
      <c r="DO82" s="770"/>
      <c r="DR82" s="819"/>
    </row>
    <row r="83" spans="1:122" ht="12.75" customHeight="1">
      <c r="A83" s="857"/>
      <c r="B83" s="798" t="s">
        <v>781</v>
      </c>
      <c r="C83" s="1334">
        <f>IF($P$61="Yes",IF($C$16/$C$24&gt;4/3,TANH(0.866*$C$16/$C$24)/(0.866*$C$16/$C$24)*$C$25,(1-0.218*$C$16/$C$24)*$C$25),"N.A.")</f>
        <v>582.59340320459853</v>
      </c>
      <c r="D83" s="804" t="s">
        <v>782</v>
      </c>
      <c r="E83" s="773"/>
      <c r="F83" s="780"/>
      <c r="G83" s="780"/>
      <c r="H83" s="773"/>
      <c r="I83" s="836"/>
      <c r="J83" s="33"/>
      <c r="K83" s="1265"/>
      <c r="L83" s="758"/>
      <c r="M83" s="1320">
        <v>18</v>
      </c>
      <c r="N83" s="897">
        <v>1</v>
      </c>
      <c r="O83" s="1317">
        <v>6.21</v>
      </c>
      <c r="P83" s="781"/>
      <c r="Q83" s="758"/>
      <c r="R83" s="758"/>
      <c r="S83" s="758"/>
      <c r="T83" s="1314"/>
      <c r="U83" s="1294"/>
      <c r="V83" s="1309"/>
      <c r="W83" s="1309"/>
      <c r="X83" s="1309"/>
      <c r="Y83" s="1287"/>
      <c r="Z83" s="1287"/>
      <c r="AA83" s="1287"/>
      <c r="AB83" s="1287"/>
      <c r="AC83" s="1287"/>
      <c r="AD83" s="1287"/>
      <c r="AE83" s="1287"/>
      <c r="AF83" s="1287"/>
      <c r="AG83" s="1287"/>
      <c r="AH83" s="758"/>
      <c r="AI83" s="758"/>
      <c r="AJ83" s="758"/>
      <c r="AK83" s="758"/>
      <c r="AL83" s="758"/>
      <c r="AM83" s="758"/>
      <c r="AN83" s="758"/>
      <c r="AO83" s="758"/>
      <c r="CI83" s="753"/>
      <c r="CJ83" s="753"/>
      <c r="CK83" s="753"/>
      <c r="CL83" s="753"/>
      <c r="CM83" s="753"/>
      <c r="CN83" s="753"/>
      <c r="CO83" s="753"/>
      <c r="CP83" s="753"/>
      <c r="CQ83" s="753"/>
      <c r="CR83" s="753"/>
      <c r="CS83" s="753"/>
      <c r="CT83" s="753"/>
      <c r="CU83" s="753"/>
      <c r="CV83" s="753"/>
      <c r="CW83" s="753"/>
      <c r="CX83" s="753"/>
      <c r="CY83" s="753"/>
      <c r="CZ83" s="753"/>
      <c r="DA83" s="753"/>
      <c r="DB83" s="753"/>
      <c r="DC83" s="753"/>
      <c r="DD83" s="753"/>
      <c r="DE83" s="753"/>
      <c r="DF83" s="753"/>
      <c r="DG83" s="753"/>
      <c r="DH83" s="776"/>
      <c r="DI83" s="758"/>
      <c r="DM83" s="753"/>
      <c r="DN83" s="778"/>
      <c r="DO83" s="770"/>
      <c r="DR83" s="819"/>
    </row>
    <row r="84" spans="1:122" ht="12.75" customHeight="1">
      <c r="A84" s="857"/>
      <c r="B84" s="798" t="s">
        <v>783</v>
      </c>
      <c r="C84" s="1334">
        <f>IF($P$61="Yes",(0.23*$C$16/$C$24*TANH(3.67*$C$24/$C$16))*$C$25,"N.A.")</f>
        <v>298.56886092874851</v>
      </c>
      <c r="D84" s="804" t="s">
        <v>784</v>
      </c>
      <c r="E84" s="773"/>
      <c r="F84" s="780"/>
      <c r="G84" s="780"/>
      <c r="H84" s="773"/>
      <c r="I84" s="836"/>
      <c r="J84" s="33"/>
      <c r="K84" s="1265"/>
      <c r="L84" s="758"/>
      <c r="M84" s="1315">
        <v>19</v>
      </c>
      <c r="N84" s="897">
        <v>1.05</v>
      </c>
      <c r="O84" s="889">
        <v>6.25</v>
      </c>
      <c r="P84" s="781"/>
      <c r="Q84" s="758"/>
      <c r="R84" s="758"/>
      <c r="S84" s="758"/>
      <c r="T84" s="1308"/>
      <c r="U84" s="1294"/>
      <c r="V84" s="1309"/>
      <c r="W84" s="1309"/>
      <c r="X84" s="1309"/>
      <c r="Y84" s="1287"/>
      <c r="Z84" s="1287"/>
      <c r="AA84" s="1287"/>
      <c r="AB84" s="1287"/>
      <c r="AC84" s="1287"/>
      <c r="AD84" s="1287"/>
      <c r="AE84" s="1287"/>
      <c r="AF84" s="1287"/>
      <c r="AG84" s="1287"/>
      <c r="AH84" s="758"/>
      <c r="AI84" s="758"/>
      <c r="AJ84" s="758"/>
      <c r="AK84" s="758"/>
      <c r="AL84" s="758"/>
      <c r="AM84" s="758"/>
      <c r="AN84" s="758"/>
      <c r="AO84" s="758"/>
      <c r="CI84" s="753"/>
      <c r="CJ84" s="753"/>
      <c r="CK84" s="753"/>
      <c r="CL84" s="753"/>
      <c r="CM84" s="753"/>
      <c r="CN84" s="753"/>
      <c r="CO84" s="753"/>
      <c r="CP84" s="753"/>
      <c r="CQ84" s="753"/>
      <c r="CR84" s="753"/>
      <c r="CS84" s="753"/>
      <c r="CT84" s="753"/>
      <c r="CU84" s="753"/>
      <c r="CV84" s="753"/>
      <c r="CW84" s="753"/>
      <c r="CX84" s="753"/>
      <c r="CY84" s="753"/>
      <c r="CZ84" s="753"/>
      <c r="DA84" s="753"/>
      <c r="DB84" s="753"/>
      <c r="DC84" s="753"/>
      <c r="DD84" s="753"/>
      <c r="DE84" s="753"/>
      <c r="DF84" s="753"/>
      <c r="DG84" s="753"/>
      <c r="DH84" s="776"/>
      <c r="DI84" s="758"/>
      <c r="DM84" s="753"/>
      <c r="DN84" s="778"/>
      <c r="DO84" s="770"/>
      <c r="DR84" s="819"/>
    </row>
    <row r="85" spans="1:122" ht="12.75" customHeight="1">
      <c r="A85" s="857"/>
      <c r="B85" s="798" t="s">
        <v>785</v>
      </c>
      <c r="C85" s="389">
        <f>IF($P$61="Yes",$C$81/($C$53/$C$9),"N.A.")</f>
        <v>0.11877262222222222</v>
      </c>
      <c r="D85" s="773" t="s">
        <v>1235</v>
      </c>
      <c r="E85" s="780"/>
      <c r="F85" s="780"/>
      <c r="G85" s="780"/>
      <c r="H85" s="780"/>
      <c r="I85" s="829"/>
      <c r="J85" s="724"/>
      <c r="K85" s="758"/>
      <c r="L85" s="758"/>
      <c r="M85" s="1315">
        <v>20</v>
      </c>
      <c r="N85" s="897">
        <v>1.1000000000000001</v>
      </c>
      <c r="O85" s="889">
        <v>6.33</v>
      </c>
      <c r="P85" s="781"/>
      <c r="Q85" s="758"/>
      <c r="R85" s="758"/>
      <c r="S85" s="758"/>
      <c r="T85" s="1308"/>
      <c r="U85" s="1294"/>
      <c r="V85" s="1309"/>
      <c r="W85" s="1309"/>
      <c r="X85" s="1309"/>
      <c r="Y85" s="1287"/>
      <c r="Z85" s="1287"/>
      <c r="AA85" s="1287"/>
      <c r="AB85" s="1287"/>
      <c r="AC85" s="1287"/>
      <c r="AD85" s="1287"/>
      <c r="AE85" s="1287"/>
      <c r="AF85" s="1287"/>
      <c r="AG85" s="1287"/>
      <c r="AH85" s="758"/>
      <c r="AI85" s="758"/>
      <c r="AJ85" s="758"/>
      <c r="AK85" s="758"/>
      <c r="AL85" s="758"/>
      <c r="AM85" s="758"/>
      <c r="AN85" s="758"/>
      <c r="AO85" s="758"/>
      <c r="CI85" s="753"/>
      <c r="CJ85" s="753"/>
      <c r="CK85" s="753"/>
      <c r="CL85" s="753"/>
      <c r="CM85" s="753"/>
      <c r="CN85" s="753"/>
      <c r="CO85" s="753"/>
      <c r="CP85" s="753"/>
      <c r="CQ85" s="753"/>
      <c r="CR85" s="753"/>
      <c r="CS85" s="753"/>
      <c r="CT85" s="753"/>
      <c r="CU85" s="753"/>
      <c r="CV85" s="753"/>
      <c r="CW85" s="753"/>
      <c r="CX85" s="753"/>
      <c r="CY85" s="753"/>
      <c r="CZ85" s="753"/>
      <c r="DA85" s="753"/>
      <c r="DB85" s="753"/>
      <c r="DC85" s="753"/>
      <c r="DD85" s="753"/>
      <c r="DE85" s="753"/>
      <c r="DF85" s="753"/>
      <c r="DG85" s="753"/>
      <c r="DH85" s="776"/>
      <c r="DI85" s="758"/>
      <c r="DM85" s="753"/>
      <c r="DN85" s="778"/>
      <c r="DO85" s="770"/>
      <c r="DR85" s="819"/>
    </row>
    <row r="86" spans="1:122" ht="12.75" customHeight="1">
      <c r="A86" s="857"/>
      <c r="B86" s="798" t="s">
        <v>786</v>
      </c>
      <c r="C86" s="1334">
        <f>IF($P$61="Yes",$C$85*($C$20+$C$21+$C$22+$C$83),"N.A.")</f>
        <v>77.399771204867463</v>
      </c>
      <c r="D86" s="875" t="s">
        <v>1230</v>
      </c>
      <c r="E86" s="780"/>
      <c r="F86" s="780"/>
      <c r="G86" s="780"/>
      <c r="H86" s="780"/>
      <c r="I86" s="829"/>
      <c r="J86" s="724"/>
      <c r="K86" s="1265"/>
      <c r="L86" s="758"/>
      <c r="M86" s="1315">
        <v>21</v>
      </c>
      <c r="N86" s="897">
        <v>1.1499999999999999</v>
      </c>
      <c r="O86" s="889">
        <v>6.4</v>
      </c>
      <c r="P86" s="781"/>
      <c r="Q86" s="758"/>
      <c r="R86" s="758"/>
      <c r="S86" s="758"/>
      <c r="T86" s="1308"/>
      <c r="U86" s="1294"/>
      <c r="V86" s="1309"/>
      <c r="W86" s="1309"/>
      <c r="X86" s="1309"/>
      <c r="Y86" s="1287"/>
      <c r="Z86" s="1287"/>
      <c r="AA86" s="1287"/>
      <c r="AB86" s="1287"/>
      <c r="AC86" s="1287"/>
      <c r="AD86" s="1287"/>
      <c r="AE86" s="1287"/>
      <c r="AF86" s="1287"/>
      <c r="AG86" s="1287"/>
      <c r="AH86" s="758"/>
      <c r="AI86" s="758"/>
      <c r="AJ86" s="758"/>
      <c r="AK86" s="758"/>
      <c r="AL86" s="758"/>
      <c r="AM86" s="758"/>
      <c r="AN86" s="758"/>
      <c r="AO86" s="758"/>
      <c r="CI86" s="753"/>
      <c r="CJ86" s="753"/>
      <c r="CK86" s="753"/>
      <c r="CL86" s="753"/>
      <c r="CM86" s="753"/>
      <c r="CN86" s="753"/>
      <c r="CO86" s="753"/>
      <c r="CP86" s="753"/>
      <c r="CQ86" s="753"/>
      <c r="CR86" s="753"/>
      <c r="CS86" s="753"/>
      <c r="CT86" s="753"/>
      <c r="CU86" s="753"/>
      <c r="CV86" s="753"/>
      <c r="CW86" s="753"/>
      <c r="CX86" s="753"/>
      <c r="CY86" s="753"/>
      <c r="CZ86" s="753"/>
      <c r="DA86" s="753"/>
      <c r="DB86" s="753"/>
      <c r="DC86" s="753"/>
      <c r="DD86" s="753"/>
      <c r="DE86" s="753"/>
      <c r="DF86" s="753"/>
      <c r="DG86" s="753"/>
      <c r="DH86" s="776"/>
      <c r="DI86" s="758"/>
      <c r="DM86" s="753"/>
      <c r="DN86" s="778"/>
      <c r="DO86" s="770"/>
      <c r="DR86" s="819"/>
    </row>
    <row r="87" spans="1:122" ht="12.75" customHeight="1">
      <c r="A87" s="857"/>
      <c r="B87" s="798" t="s">
        <v>787</v>
      </c>
      <c r="C87" s="389">
        <f>IF($P$61="Yes",$C$82*$C$9/1.5,"N.A.")</f>
        <v>5.3075744461431908E-2</v>
      </c>
      <c r="D87" s="773" t="s">
        <v>1234</v>
      </c>
      <c r="E87" s="780"/>
      <c r="F87" s="773"/>
      <c r="G87" s="780"/>
      <c r="H87" s="773"/>
      <c r="I87" s="836"/>
      <c r="J87" s="191"/>
      <c r="K87" s="1265"/>
      <c r="L87" s="758"/>
      <c r="M87" s="1315">
        <v>22</v>
      </c>
      <c r="N87" s="897">
        <v>1.2</v>
      </c>
      <c r="O87" s="889">
        <v>6.48</v>
      </c>
      <c r="P87" s="781"/>
      <c r="Q87" s="758"/>
      <c r="R87" s="758"/>
      <c r="S87" s="758"/>
      <c r="T87" s="1308"/>
      <c r="U87" s="1294"/>
      <c r="V87" s="1309"/>
      <c r="W87" s="1309"/>
      <c r="X87" s="1309"/>
      <c r="Y87" s="1287"/>
      <c r="Z87" s="1287"/>
      <c r="AA87" s="1287"/>
      <c r="AB87" s="1287"/>
      <c r="AC87" s="1287"/>
      <c r="AD87" s="1287"/>
      <c r="AE87" s="1287"/>
      <c r="AF87" s="1287"/>
      <c r="AG87" s="1287"/>
      <c r="AH87" s="758"/>
      <c r="AI87" s="758"/>
      <c r="AJ87" s="758"/>
      <c r="AK87" s="758"/>
      <c r="AL87" s="758"/>
      <c r="AM87" s="758"/>
      <c r="AN87" s="758"/>
      <c r="AO87" s="758"/>
      <c r="CI87" s="753"/>
      <c r="CJ87" s="753"/>
      <c r="CK87" s="753"/>
      <c r="CL87" s="753"/>
      <c r="CM87" s="753"/>
      <c r="CN87" s="753"/>
      <c r="CO87" s="753"/>
      <c r="CP87" s="753"/>
      <c r="CQ87" s="753"/>
      <c r="CR87" s="753"/>
      <c r="CS87" s="753"/>
      <c r="CT87" s="753"/>
      <c r="CU87" s="753"/>
      <c r="CV87" s="753"/>
      <c r="CW87" s="753"/>
      <c r="CX87" s="753"/>
      <c r="CY87" s="753"/>
      <c r="CZ87" s="753"/>
      <c r="DA87" s="753"/>
      <c r="DB87" s="753"/>
      <c r="DC87" s="753"/>
      <c r="DD87" s="753"/>
      <c r="DE87" s="753"/>
      <c r="DF87" s="753"/>
      <c r="DG87" s="753"/>
      <c r="DH87" s="776"/>
      <c r="DI87" s="758"/>
      <c r="DM87" s="753"/>
      <c r="DN87" s="778"/>
      <c r="DO87" s="770"/>
      <c r="DR87" s="819"/>
    </row>
    <row r="88" spans="1:122" ht="12.75" customHeight="1">
      <c r="A88" s="892"/>
      <c r="B88" s="895" t="s">
        <v>788</v>
      </c>
      <c r="C88" s="1334">
        <f>IF($P$61="Yes",$C$87*$C$84,"N.A.")</f>
        <v>15.846764566795057</v>
      </c>
      <c r="D88" s="875" t="s">
        <v>1232</v>
      </c>
      <c r="E88" s="773"/>
      <c r="F88" s="773"/>
      <c r="G88" s="773"/>
      <c r="H88" s="753"/>
      <c r="I88" s="834"/>
      <c r="K88" s="758"/>
      <c r="L88" s="758"/>
      <c r="M88" s="1315">
        <v>23</v>
      </c>
      <c r="N88" s="897">
        <v>1.25</v>
      </c>
      <c r="O88" s="1317">
        <v>6.56</v>
      </c>
      <c r="P88" s="781"/>
      <c r="Q88" s="758"/>
      <c r="R88" s="758"/>
      <c r="S88" s="758"/>
      <c r="T88" s="1308"/>
      <c r="U88" s="1294"/>
      <c r="V88" s="1309"/>
      <c r="W88" s="1309"/>
      <c r="X88" s="1309"/>
      <c r="Y88" s="1287"/>
      <c r="Z88" s="1287"/>
      <c r="AA88" s="1287"/>
      <c r="AB88" s="1287"/>
      <c r="AC88" s="1287"/>
      <c r="AD88" s="1287"/>
      <c r="AE88" s="1287"/>
      <c r="AF88" s="1287"/>
      <c r="AG88" s="1287"/>
      <c r="AH88" s="758"/>
      <c r="AI88" s="758"/>
      <c r="AJ88" s="758"/>
      <c r="AK88" s="758"/>
      <c r="AL88" s="758"/>
      <c r="AM88" s="758"/>
      <c r="AN88" s="758"/>
      <c r="AO88" s="758"/>
      <c r="CI88" s="753"/>
      <c r="CJ88" s="753"/>
      <c r="CK88" s="753"/>
      <c r="CL88" s="753"/>
      <c r="CM88" s="753"/>
      <c r="CN88" s="753"/>
      <c r="CO88" s="753"/>
      <c r="CP88" s="753"/>
      <c r="CQ88" s="753"/>
      <c r="CR88" s="753"/>
      <c r="CS88" s="753"/>
      <c r="CT88" s="753"/>
      <c r="CU88" s="753"/>
      <c r="CV88" s="753"/>
      <c r="CW88" s="753"/>
      <c r="CX88" s="753"/>
      <c r="CY88" s="753"/>
      <c r="CZ88" s="753"/>
      <c r="DA88" s="753"/>
      <c r="DB88" s="753"/>
      <c r="DC88" s="753"/>
      <c r="DD88" s="753"/>
      <c r="DE88" s="753"/>
      <c r="DF88" s="753"/>
      <c r="DG88" s="753"/>
      <c r="DH88" s="776"/>
      <c r="DI88" s="758"/>
      <c r="DM88" s="753"/>
      <c r="DN88" s="778"/>
      <c r="DO88" s="770"/>
      <c r="DR88" s="819"/>
    </row>
    <row r="89" spans="1:122" ht="12.75" customHeight="1">
      <c r="A89" s="892"/>
      <c r="B89" s="798" t="s">
        <v>789</v>
      </c>
      <c r="C89" s="1334">
        <f>IF($P$61="Yes",$C$86+$C$88,"N.A.")</f>
        <v>93.246535771662522</v>
      </c>
      <c r="D89" s="875" t="s">
        <v>790</v>
      </c>
      <c r="E89" s="773"/>
      <c r="F89" s="753"/>
      <c r="G89" s="773"/>
      <c r="H89" s="753"/>
      <c r="I89" s="834"/>
      <c r="K89" s="781"/>
      <c r="L89" s="758"/>
      <c r="M89" s="1315">
        <v>24</v>
      </c>
      <c r="N89" s="897">
        <v>1.3</v>
      </c>
      <c r="O89" s="889">
        <v>6.65</v>
      </c>
      <c r="P89" s="819"/>
      <c r="Q89" s="758"/>
      <c r="R89" s="758"/>
      <c r="S89" s="758"/>
      <c r="T89" s="1308"/>
      <c r="U89" s="1294"/>
      <c r="V89" s="1309"/>
      <c r="W89" s="1309"/>
      <c r="X89" s="1309"/>
      <c r="Y89" s="1287"/>
      <c r="Z89" s="1287"/>
      <c r="AA89" s="1287"/>
      <c r="AB89" s="1287"/>
      <c r="AC89" s="1287"/>
      <c r="AD89" s="1287"/>
      <c r="AE89" s="1287"/>
      <c r="AF89" s="1287"/>
      <c r="AG89" s="1287"/>
      <c r="AH89" s="758"/>
      <c r="AI89" s="758"/>
      <c r="AJ89" s="758"/>
      <c r="AK89" s="758"/>
      <c r="AL89" s="758"/>
      <c r="AM89" s="758"/>
      <c r="AN89" s="758"/>
      <c r="AO89" s="758"/>
      <c r="CI89" s="753"/>
      <c r="CJ89" s="753"/>
      <c r="CK89" s="753"/>
      <c r="CL89" s="753"/>
      <c r="CM89" s="753"/>
      <c r="CN89" s="753"/>
      <c r="CO89" s="753"/>
      <c r="CP89" s="753"/>
      <c r="CQ89" s="753"/>
      <c r="CR89" s="753"/>
      <c r="CS89" s="753"/>
      <c r="CT89" s="753"/>
      <c r="CU89" s="753"/>
      <c r="CV89" s="753"/>
      <c r="CW89" s="753"/>
      <c r="CX89" s="753"/>
      <c r="CY89" s="753"/>
      <c r="CZ89" s="753"/>
      <c r="DA89" s="753"/>
      <c r="DB89" s="753"/>
      <c r="DC89" s="753"/>
      <c r="DD89" s="753"/>
      <c r="DE89" s="753"/>
      <c r="DF89" s="753"/>
      <c r="DG89" s="753"/>
      <c r="DH89" s="776"/>
      <c r="DI89" s="758"/>
      <c r="DM89" s="753"/>
      <c r="DN89" s="778"/>
      <c r="DO89" s="753"/>
      <c r="DR89" s="819"/>
    </row>
    <row r="90" spans="1:122" ht="12.75" customHeight="1">
      <c r="A90" s="898"/>
      <c r="B90" s="798" t="s">
        <v>791</v>
      </c>
      <c r="C90" s="1334">
        <f>IF($P$61="Yes",SQRT($C$86^2+$C$88^2),"N.A.")</f>
        <v>79.005344944511577</v>
      </c>
      <c r="D90" s="875" t="s">
        <v>792</v>
      </c>
      <c r="E90" s="753"/>
      <c r="F90" s="753"/>
      <c r="G90" s="753"/>
      <c r="H90" s="872"/>
      <c r="I90" s="834"/>
      <c r="K90" s="781"/>
      <c r="L90" s="758"/>
      <c r="M90" s="1315">
        <v>25</v>
      </c>
      <c r="N90" s="897">
        <v>1.35</v>
      </c>
      <c r="O90" s="889">
        <v>6.75</v>
      </c>
      <c r="P90" s="781"/>
      <c r="Q90" s="758"/>
      <c r="R90" s="758"/>
      <c r="S90" s="758"/>
      <c r="T90" s="1308"/>
      <c r="U90" s="1425"/>
      <c r="V90" s="1309"/>
      <c r="W90" s="1309"/>
      <c r="X90" s="1309"/>
      <c r="Y90" s="1287"/>
      <c r="Z90" s="1287"/>
      <c r="AA90" s="1287"/>
      <c r="AB90" s="1287"/>
      <c r="AC90" s="1287"/>
      <c r="AD90" s="1287"/>
      <c r="AE90" s="1287"/>
      <c r="AF90" s="1287"/>
      <c r="AG90" s="1287"/>
      <c r="AH90" s="758"/>
      <c r="AI90" s="758"/>
      <c r="AJ90" s="758"/>
      <c r="AK90" s="758"/>
      <c r="AL90" s="758"/>
      <c r="AM90" s="758"/>
      <c r="AN90" s="758"/>
      <c r="AO90" s="758"/>
      <c r="CI90" s="753"/>
      <c r="CJ90" s="753"/>
      <c r="CK90" s="753"/>
      <c r="CL90" s="753"/>
      <c r="CM90" s="753"/>
      <c r="CN90" s="753"/>
      <c r="CO90" s="753"/>
      <c r="CP90" s="753"/>
      <c r="CQ90" s="753"/>
      <c r="CR90" s="753"/>
      <c r="CS90" s="753"/>
      <c r="CT90" s="753"/>
      <c r="CU90" s="753"/>
      <c r="CV90" s="753"/>
      <c r="CW90" s="753"/>
      <c r="CX90" s="753"/>
      <c r="CY90" s="753"/>
      <c r="CZ90" s="753"/>
      <c r="DA90" s="753"/>
      <c r="DB90" s="753"/>
      <c r="DC90" s="753"/>
      <c r="DD90" s="753"/>
      <c r="DE90" s="753"/>
      <c r="DF90" s="753"/>
      <c r="DG90" s="753"/>
      <c r="DH90" s="776"/>
      <c r="DI90" s="758"/>
      <c r="DM90" s="753"/>
      <c r="DN90" s="778"/>
      <c r="DO90" s="770"/>
      <c r="DR90" s="819"/>
    </row>
    <row r="91" spans="1:122" ht="12.75" customHeight="1">
      <c r="A91" s="857"/>
      <c r="B91" s="798" t="s">
        <v>793</v>
      </c>
      <c r="C91" s="1335">
        <f>IF($P$61="Yes",MAX($C$101*($C$20+$C$21+$C$22+$C$83),$C$102*$C$84)+0.4*MIN($C$101*($C$20+$C$21+$C$22+$C$83),$C$102*$C$84),"N.A.")</f>
        <v>62.80385777368911</v>
      </c>
      <c r="D91" s="875" t="s">
        <v>794</v>
      </c>
      <c r="E91" s="780"/>
      <c r="F91" s="780"/>
      <c r="G91" s="780"/>
      <c r="H91" s="780"/>
      <c r="I91" s="829"/>
      <c r="J91" s="723"/>
      <c r="K91" s="1321"/>
      <c r="L91" s="758"/>
      <c r="M91" s="1315">
        <v>26</v>
      </c>
      <c r="N91" s="897">
        <v>1.4</v>
      </c>
      <c r="O91" s="889">
        <v>6.85</v>
      </c>
      <c r="P91" s="1322"/>
      <c r="Q91" s="758"/>
      <c r="R91" s="758"/>
      <c r="S91" s="758"/>
      <c r="T91" s="1308"/>
      <c r="U91" s="1426"/>
      <c r="V91" s="1309"/>
      <c r="W91" s="1309"/>
      <c r="X91" s="1309"/>
      <c r="Y91" s="1323"/>
      <c r="Z91" s="1323"/>
      <c r="AA91" s="1323"/>
      <c r="AB91" s="1323"/>
      <c r="AC91" s="1323"/>
      <c r="AD91" s="1287"/>
      <c r="AE91" s="1287"/>
      <c r="AF91" s="1287"/>
      <c r="AG91" s="1287"/>
      <c r="AH91" s="758"/>
      <c r="AI91" s="758"/>
      <c r="AJ91" s="758"/>
      <c r="AK91" s="758"/>
      <c r="AL91" s="758"/>
      <c r="AM91" s="758"/>
      <c r="AN91" s="758"/>
      <c r="AO91" s="758"/>
      <c r="CI91" s="753"/>
      <c r="CJ91" s="753"/>
      <c r="CK91" s="753"/>
      <c r="CL91" s="753"/>
      <c r="CM91" s="753"/>
      <c r="CN91" s="753"/>
      <c r="CO91" s="753"/>
      <c r="CP91" s="753"/>
      <c r="CQ91" s="753"/>
      <c r="CR91" s="753"/>
      <c r="CS91" s="753"/>
      <c r="CT91" s="753"/>
      <c r="CU91" s="753"/>
      <c r="CV91" s="753"/>
      <c r="CW91" s="753"/>
      <c r="CX91" s="753"/>
      <c r="CY91" s="753"/>
      <c r="CZ91" s="753"/>
      <c r="DA91" s="753"/>
      <c r="DB91" s="753"/>
      <c r="DC91" s="753"/>
      <c r="DD91" s="753"/>
      <c r="DE91" s="753"/>
      <c r="DF91" s="753"/>
      <c r="DG91" s="753"/>
      <c r="DH91" s="776"/>
      <c r="DI91" s="758"/>
      <c r="DM91" s="753"/>
      <c r="DN91" s="778"/>
      <c r="DO91" s="753"/>
      <c r="DR91" s="819"/>
    </row>
    <row r="92" spans="1:122" ht="12.75" customHeight="1">
      <c r="A92" s="857"/>
      <c r="B92" s="798" t="s">
        <v>795</v>
      </c>
      <c r="C92" s="1336">
        <f>IF($P$61="Yes",SQRT(($C$101*($C$20+$C$21+$C$22+$C$83))^2+($C$102*$C$84)^2),"N.A.")</f>
        <v>59.25400870838368</v>
      </c>
      <c r="D92" s="875" t="s">
        <v>796</v>
      </c>
      <c r="E92" s="780"/>
      <c r="F92" s="780"/>
      <c r="G92" s="780"/>
      <c r="H92" s="780"/>
      <c r="I92" s="829"/>
      <c r="J92" s="91"/>
      <c r="K92" s="779"/>
      <c r="L92" s="758"/>
      <c r="M92" s="1315">
        <v>27</v>
      </c>
      <c r="N92" s="897">
        <v>1.45</v>
      </c>
      <c r="O92" s="889">
        <v>6.95</v>
      </c>
      <c r="P92" s="781"/>
      <c r="Q92" s="758"/>
      <c r="R92" s="758"/>
      <c r="S92" s="758"/>
      <c r="T92" s="1294"/>
      <c r="U92" s="1425"/>
      <c r="V92" s="1309"/>
      <c r="W92" s="1309"/>
      <c r="X92" s="1309"/>
      <c r="Y92" s="1287"/>
      <c r="Z92" s="1287"/>
      <c r="AA92" s="1287"/>
      <c r="AB92" s="1287"/>
      <c r="AC92" s="1287"/>
      <c r="AD92" s="1287"/>
      <c r="AE92" s="1287"/>
      <c r="AF92" s="1287"/>
      <c r="AG92" s="1287"/>
      <c r="AH92" s="758"/>
      <c r="AI92" s="758"/>
      <c r="AJ92" s="758"/>
      <c r="AK92" s="758"/>
      <c r="AL92" s="758"/>
      <c r="AM92" s="758"/>
      <c r="AN92" s="758"/>
      <c r="AO92" s="758"/>
      <c r="CI92" s="753"/>
      <c r="CJ92" s="753"/>
      <c r="CK92" s="753"/>
      <c r="CL92" s="753"/>
      <c r="CM92" s="753"/>
      <c r="CN92" s="753"/>
      <c r="CO92" s="753"/>
      <c r="CP92" s="753"/>
      <c r="CQ92" s="753"/>
      <c r="CR92" s="753"/>
      <c r="CS92" s="753"/>
      <c r="CT92" s="753"/>
      <c r="CU92" s="753"/>
      <c r="CV92" s="753"/>
      <c r="CW92" s="753"/>
      <c r="CX92" s="753"/>
      <c r="CY92" s="753"/>
      <c r="CZ92" s="753"/>
      <c r="DA92" s="753"/>
      <c r="DB92" s="753"/>
      <c r="DC92" s="753"/>
      <c r="DD92" s="753"/>
      <c r="DE92" s="753"/>
      <c r="DF92" s="753"/>
      <c r="DG92" s="753"/>
      <c r="DH92" s="776"/>
      <c r="DI92" s="758"/>
      <c r="DM92" s="753"/>
      <c r="DN92" s="778"/>
      <c r="DO92" s="753"/>
      <c r="DR92" s="819"/>
    </row>
    <row r="93" spans="1:122" ht="12.75" customHeight="1">
      <c r="A93" s="857"/>
      <c r="B93" s="780"/>
      <c r="C93" s="1337"/>
      <c r="D93" s="875"/>
      <c r="E93" s="780"/>
      <c r="F93" s="780"/>
      <c r="G93" s="780"/>
      <c r="H93" s="780"/>
      <c r="I93" s="829"/>
      <c r="J93" s="91"/>
      <c r="K93" s="779"/>
      <c r="L93" s="758"/>
      <c r="M93" s="1315">
        <v>28</v>
      </c>
      <c r="N93" s="890">
        <v>1.5</v>
      </c>
      <c r="O93" s="1324">
        <v>7.03</v>
      </c>
      <c r="P93" s="781"/>
      <c r="Q93" s="758"/>
      <c r="R93" s="758"/>
      <c r="S93" s="758"/>
      <c r="T93" s="1294"/>
      <c r="U93" s="1426"/>
      <c r="V93" s="1294"/>
      <c r="W93" s="1294"/>
      <c r="X93" s="1294"/>
      <c r="Y93" s="1323"/>
      <c r="Z93" s="1323"/>
      <c r="AA93" s="1323"/>
      <c r="AB93" s="1323"/>
      <c r="AC93" s="1323"/>
      <c r="AD93" s="1287"/>
      <c r="AE93" s="1287"/>
      <c r="AF93" s="1287"/>
      <c r="AG93" s="1287"/>
      <c r="AH93" s="758"/>
      <c r="AI93" s="758"/>
      <c r="AJ93" s="758"/>
      <c r="AK93" s="758"/>
      <c r="AL93" s="758"/>
      <c r="AM93" s="758"/>
      <c r="AN93" s="758"/>
      <c r="AO93" s="758"/>
      <c r="CI93" s="753"/>
      <c r="CJ93" s="753"/>
      <c r="CK93" s="753"/>
      <c r="CL93" s="753"/>
      <c r="CM93" s="753"/>
      <c r="CN93" s="753"/>
      <c r="CO93" s="753"/>
      <c r="CP93" s="753"/>
      <c r="CQ93" s="753"/>
      <c r="CR93" s="753"/>
      <c r="CS93" s="753"/>
      <c r="CT93" s="753"/>
      <c r="CU93" s="753"/>
      <c r="CV93" s="753"/>
      <c r="CW93" s="753"/>
      <c r="CX93" s="753"/>
      <c r="CY93" s="753"/>
      <c r="CZ93" s="753"/>
      <c r="DA93" s="753"/>
      <c r="DB93" s="753"/>
      <c r="DC93" s="753"/>
      <c r="DD93" s="753"/>
      <c r="DE93" s="753"/>
      <c r="DF93" s="753"/>
      <c r="DG93" s="753"/>
      <c r="DH93" s="776"/>
      <c r="DI93" s="758"/>
      <c r="DM93" s="753"/>
      <c r="DN93" s="778"/>
      <c r="DO93" s="770"/>
      <c r="DR93" s="819"/>
    </row>
    <row r="94" spans="1:122" ht="12.75" customHeight="1">
      <c r="A94" s="859" t="s">
        <v>1233</v>
      </c>
      <c r="B94" s="894"/>
      <c r="C94" s="20"/>
      <c r="D94" s="753"/>
      <c r="E94" s="753"/>
      <c r="F94" s="753"/>
      <c r="G94" s="753"/>
      <c r="H94" s="872"/>
      <c r="I94" s="834"/>
      <c r="J94" s="91"/>
      <c r="K94" s="779"/>
      <c r="L94" s="758"/>
      <c r="M94" s="758"/>
      <c r="N94" s="758"/>
      <c r="O94" s="758"/>
      <c r="P94" s="775"/>
      <c r="Q94" s="758"/>
      <c r="R94" s="758"/>
      <c r="S94" s="758"/>
      <c r="T94" s="1294"/>
      <c r="U94" s="1426"/>
      <c r="V94" s="1323"/>
      <c r="W94" s="1323"/>
      <c r="X94" s="1323"/>
      <c r="Y94" s="1323"/>
      <c r="Z94" s="1323"/>
      <c r="AA94" s="1323"/>
      <c r="AB94" s="1323"/>
      <c r="AC94" s="1323"/>
      <c r="AD94" s="1287"/>
      <c r="AE94" s="1287"/>
      <c r="AF94" s="1287"/>
      <c r="AG94" s="1287"/>
      <c r="AH94" s="758"/>
      <c r="AI94" s="758"/>
      <c r="AJ94" s="758"/>
      <c r="AK94" s="758"/>
      <c r="AL94" s="758"/>
      <c r="AM94" s="758"/>
      <c r="AN94" s="758"/>
      <c r="AO94" s="758"/>
      <c r="CI94" s="753"/>
      <c r="CJ94" s="753"/>
      <c r="CK94" s="753"/>
      <c r="CL94" s="753"/>
      <c r="CM94" s="753"/>
      <c r="CN94" s="753"/>
      <c r="CO94" s="753"/>
      <c r="CP94" s="753"/>
      <c r="CQ94" s="753"/>
      <c r="CR94" s="753"/>
      <c r="CS94" s="753"/>
      <c r="CT94" s="753"/>
      <c r="CU94" s="753"/>
      <c r="CV94" s="753"/>
      <c r="CW94" s="753"/>
      <c r="CX94" s="753"/>
      <c r="CY94" s="753"/>
      <c r="CZ94" s="753"/>
      <c r="DA94" s="753"/>
      <c r="DB94" s="753"/>
      <c r="DC94" s="753"/>
      <c r="DD94" s="753"/>
      <c r="DE94" s="753"/>
      <c r="DF94" s="753"/>
      <c r="DG94" s="753"/>
      <c r="DH94" s="776"/>
      <c r="DI94" s="758"/>
      <c r="DM94" s="753"/>
      <c r="DN94" s="778"/>
      <c r="DO94" s="770"/>
      <c r="DR94" s="819"/>
    </row>
    <row r="95" spans="1:122" ht="12.75" customHeight="1">
      <c r="A95" s="892"/>
      <c r="B95" s="798" t="s">
        <v>797</v>
      </c>
      <c r="C95" s="457">
        <f>IF($P$61="Yes",$C$15/2,"N.A.")</f>
        <v>15</v>
      </c>
      <c r="D95" s="804" t="s">
        <v>798</v>
      </c>
      <c r="E95" s="780"/>
      <c r="F95" s="780"/>
      <c r="G95" s="780"/>
      <c r="H95" s="780"/>
      <c r="I95" s="829"/>
      <c r="J95" s="91"/>
      <c r="K95" s="781"/>
      <c r="L95" s="758"/>
      <c r="M95" s="1325">
        <v>11</v>
      </c>
      <c r="N95" s="781">
        <v>0.65</v>
      </c>
      <c r="O95" s="781">
        <v>6.12</v>
      </c>
      <c r="P95" s="1294"/>
      <c r="Q95" s="758"/>
      <c r="R95" s="758"/>
      <c r="S95" s="758"/>
      <c r="T95" s="1314"/>
      <c r="U95" s="1294"/>
      <c r="V95" s="1294"/>
      <c r="W95" s="1294"/>
      <c r="X95" s="1294"/>
      <c r="Y95" s="1294"/>
      <c r="Z95" s="1294"/>
      <c r="AA95" s="1294"/>
      <c r="AB95" s="1294"/>
      <c r="AC95" s="1294"/>
      <c r="AD95" s="1287"/>
      <c r="AE95" s="1287"/>
      <c r="AF95" s="1287"/>
      <c r="AG95" s="1287"/>
      <c r="AH95" s="758"/>
      <c r="AI95" s="758"/>
      <c r="AJ95" s="758"/>
      <c r="AK95" s="758"/>
      <c r="AL95" s="758"/>
      <c r="AM95" s="758"/>
      <c r="AN95" s="758"/>
      <c r="AO95" s="758"/>
      <c r="CI95" s="753"/>
      <c r="CJ95" s="753"/>
      <c r="CK95" s="753"/>
      <c r="CL95" s="753"/>
      <c r="CM95" s="753"/>
      <c r="CN95" s="753"/>
      <c r="CO95" s="753"/>
      <c r="CP95" s="753"/>
      <c r="CQ95" s="753"/>
      <c r="CR95" s="753"/>
      <c r="CS95" s="753"/>
      <c r="CT95" s="753"/>
      <c r="CU95" s="753"/>
      <c r="CV95" s="753"/>
      <c r="CW95" s="753"/>
      <c r="CX95" s="753"/>
      <c r="CY95" s="753"/>
      <c r="CZ95" s="753"/>
      <c r="DA95" s="753"/>
      <c r="DB95" s="753"/>
      <c r="DC95" s="753"/>
      <c r="DD95" s="753"/>
      <c r="DE95" s="753"/>
      <c r="DF95" s="753"/>
      <c r="DG95" s="753"/>
      <c r="DH95" s="776"/>
      <c r="DI95" s="758"/>
      <c r="DM95" s="753"/>
      <c r="DN95" s="778"/>
      <c r="DO95" s="770"/>
      <c r="DR95" s="819"/>
    </row>
    <row r="96" spans="1:122" ht="12.75" customHeight="1">
      <c r="A96" s="857"/>
      <c r="B96" s="899" t="s">
        <v>799</v>
      </c>
      <c r="C96" s="389">
        <f>IF($P$61="Yes",IF($C$16/$C$24&gt;4/3,0.375*(1+4/3*((0.866*$C$16/$C$24)/(TANH(0.866*$C$16/$C$24))-1))*$C$24,(0.5+0.06*$C$16/$C$24)*$C$24),"N.A.")</f>
        <v>12.578955497398358</v>
      </c>
      <c r="D96" s="804" t="s">
        <v>800</v>
      </c>
      <c r="E96" s="780"/>
      <c r="F96" s="780"/>
      <c r="G96" s="780"/>
      <c r="H96" s="780"/>
      <c r="I96" s="829"/>
      <c r="J96" s="91"/>
      <c r="K96" s="781"/>
      <c r="L96" s="758"/>
      <c r="M96" s="1325">
        <v>12</v>
      </c>
      <c r="N96" s="781">
        <v>0.7</v>
      </c>
      <c r="O96" s="781">
        <v>6.1</v>
      </c>
      <c r="P96" s="775"/>
      <c r="Q96" s="758"/>
      <c r="R96" s="758"/>
      <c r="S96" s="758"/>
      <c r="T96" s="1308"/>
      <c r="U96" s="1294"/>
      <c r="V96" s="1309"/>
      <c r="W96" s="1309"/>
      <c r="X96" s="1309"/>
      <c r="Y96" s="1287"/>
      <c r="Z96" s="1287"/>
      <c r="AA96" s="1287"/>
      <c r="AB96" s="1287"/>
      <c r="AC96" s="1287"/>
      <c r="AD96" s="1287"/>
      <c r="AE96" s="1287"/>
      <c r="AF96" s="1287"/>
      <c r="AG96" s="1287"/>
      <c r="AH96" s="758"/>
      <c r="AI96" s="758"/>
      <c r="AJ96" s="758"/>
      <c r="AK96" s="758"/>
      <c r="AL96" s="758"/>
      <c r="AM96" s="758"/>
      <c r="AN96" s="758"/>
      <c r="AO96" s="758"/>
      <c r="CI96" s="753"/>
      <c r="CJ96" s="753"/>
      <c r="CK96" s="753"/>
      <c r="CL96" s="753"/>
      <c r="CM96" s="753"/>
      <c r="CN96" s="753"/>
      <c r="CO96" s="753"/>
      <c r="CP96" s="753"/>
      <c r="CQ96" s="753"/>
      <c r="CR96" s="753"/>
      <c r="CS96" s="753"/>
      <c r="CT96" s="753"/>
      <c r="CU96" s="753"/>
      <c r="CV96" s="753"/>
      <c r="CW96" s="753"/>
      <c r="CX96" s="753"/>
      <c r="CY96" s="753"/>
      <c r="CZ96" s="753"/>
      <c r="DA96" s="753"/>
      <c r="DB96" s="753"/>
      <c r="DC96" s="753"/>
      <c r="DD96" s="753"/>
      <c r="DE96" s="753"/>
      <c r="DF96" s="753"/>
      <c r="DG96" s="753"/>
      <c r="DH96" s="776"/>
      <c r="DI96" s="758"/>
    </row>
    <row r="97" spans="1:113" ht="12.75" customHeight="1">
      <c r="A97" s="857"/>
      <c r="B97" s="899" t="s">
        <v>801</v>
      </c>
      <c r="C97" s="389">
        <f>IF($P$61="Yes",(1-(COSH(3.67/($C$16/$C$24))-1.9375)/(3.67/($C$16/$C$24)*SINH(3.67/($C$16/$C$24))))*$C$24,"N.A.")</f>
        <v>14.46538561660369</v>
      </c>
      <c r="D97" s="876" t="s">
        <v>802</v>
      </c>
      <c r="E97" s="780"/>
      <c r="F97" s="773"/>
      <c r="G97" s="773"/>
      <c r="H97" s="773"/>
      <c r="I97" s="836"/>
      <c r="J97" s="723"/>
      <c r="K97" s="781"/>
      <c r="L97" s="758"/>
      <c r="M97" s="776" t="s">
        <v>803</v>
      </c>
      <c r="N97" s="781">
        <v>0.66666666666666663</v>
      </c>
      <c r="O97" s="819">
        <v>6.1133333333333333</v>
      </c>
      <c r="P97" s="775"/>
      <c r="Q97" s="758"/>
      <c r="R97" s="758"/>
      <c r="S97" s="758"/>
      <c r="T97" s="1308"/>
      <c r="U97" s="1294"/>
      <c r="V97" s="1309"/>
      <c r="W97" s="1309"/>
      <c r="X97" s="1309"/>
      <c r="Y97" s="1287"/>
      <c r="Z97" s="1287"/>
      <c r="AA97" s="1287"/>
      <c r="AB97" s="1287"/>
      <c r="AC97" s="1287"/>
      <c r="AD97" s="1287"/>
      <c r="AE97" s="1287"/>
      <c r="AF97" s="1287"/>
      <c r="AG97" s="1287"/>
      <c r="AH97" s="758"/>
      <c r="AI97" s="758"/>
      <c r="AJ97" s="758"/>
      <c r="AK97" s="758"/>
      <c r="AL97" s="758"/>
      <c r="AM97" s="758"/>
      <c r="AN97" s="758"/>
      <c r="AO97" s="758"/>
      <c r="CI97" s="753"/>
      <c r="CJ97" s="753"/>
      <c r="CK97" s="753"/>
      <c r="CL97" s="753"/>
      <c r="CM97" s="753"/>
      <c r="CN97" s="753"/>
      <c r="CO97" s="753"/>
      <c r="CP97" s="753"/>
      <c r="CQ97" s="753"/>
      <c r="CR97" s="753"/>
      <c r="CS97" s="753"/>
      <c r="CT97" s="753"/>
      <c r="CU97" s="753"/>
      <c r="CV97" s="753"/>
      <c r="CW97" s="753"/>
      <c r="CX97" s="753"/>
      <c r="CY97" s="753"/>
      <c r="CZ97" s="753"/>
      <c r="DA97" s="753"/>
      <c r="DB97" s="753"/>
      <c r="DC97" s="753"/>
      <c r="DD97" s="753"/>
      <c r="DE97" s="753"/>
      <c r="DF97" s="753"/>
      <c r="DG97" s="753"/>
      <c r="DH97" s="776"/>
      <c r="DI97" s="758"/>
    </row>
    <row r="98" spans="1:113" ht="12.75" customHeight="1">
      <c r="A98" s="857"/>
      <c r="B98" s="784" t="s">
        <v>804</v>
      </c>
      <c r="C98" s="1334">
        <f>IF($P$61="Yes",IF($C$27="7a",4,3.5),"N.A.")</f>
        <v>4</v>
      </c>
      <c r="D98" s="773" t="s">
        <v>805</v>
      </c>
      <c r="E98" s="773"/>
      <c r="F98" s="773"/>
      <c r="G98" s="773"/>
      <c r="H98" s="773"/>
      <c r="I98" s="836"/>
      <c r="J98" s="723"/>
      <c r="K98" s="781"/>
      <c r="L98" s="776"/>
      <c r="M98" s="781"/>
      <c r="N98" s="758"/>
      <c r="O98" s="753"/>
      <c r="P98" s="775"/>
      <c r="Q98" s="758"/>
      <c r="R98" s="758"/>
      <c r="S98" s="758"/>
      <c r="T98" s="1308"/>
      <c r="U98" s="1294"/>
      <c r="V98" s="1309"/>
      <c r="W98" s="1309"/>
      <c r="X98" s="1309"/>
      <c r="Y98" s="1287"/>
      <c r="Z98" s="1287"/>
      <c r="AA98" s="1287"/>
      <c r="AB98" s="1287"/>
      <c r="AC98" s="1287"/>
      <c r="AD98" s="1287"/>
      <c r="AE98" s="1287"/>
      <c r="AF98" s="1287"/>
      <c r="AG98" s="1287"/>
      <c r="AH98" s="758"/>
      <c r="AI98" s="758"/>
      <c r="AJ98" s="758"/>
      <c r="AK98" s="758"/>
      <c r="AL98" s="758"/>
      <c r="AM98" s="758"/>
      <c r="AN98" s="758"/>
      <c r="AO98" s="758"/>
      <c r="CI98" s="753"/>
      <c r="CJ98" s="753"/>
      <c r="CK98" s="753"/>
      <c r="CL98" s="753"/>
      <c r="CM98" s="753"/>
      <c r="CN98" s="753"/>
      <c r="CO98" s="753"/>
      <c r="CP98" s="753"/>
      <c r="CQ98" s="753"/>
      <c r="CR98" s="753"/>
      <c r="CS98" s="753"/>
      <c r="CT98" s="753"/>
      <c r="CU98" s="753"/>
      <c r="CV98" s="753"/>
      <c r="CW98" s="753"/>
      <c r="CX98" s="753"/>
      <c r="CY98" s="753"/>
      <c r="CZ98" s="753"/>
      <c r="DA98" s="753"/>
      <c r="DB98" s="753"/>
      <c r="DC98" s="753"/>
      <c r="DD98" s="753"/>
      <c r="DE98" s="753"/>
      <c r="DF98" s="753"/>
      <c r="DG98" s="753"/>
      <c r="DH98" s="776"/>
      <c r="DI98" s="758"/>
    </row>
    <row r="99" spans="1:113" ht="12.75" customHeight="1">
      <c r="A99" s="892"/>
      <c r="B99" s="784" t="s">
        <v>806</v>
      </c>
      <c r="C99" s="1334">
        <f>IF($P$61="Yes",IF($C$27="7a",2,2),"N.A.")</f>
        <v>2</v>
      </c>
      <c r="D99" s="773" t="s">
        <v>807</v>
      </c>
      <c r="E99" s="773"/>
      <c r="F99" s="773"/>
      <c r="G99" s="773"/>
      <c r="H99" s="773"/>
      <c r="I99" s="836"/>
      <c r="J99" s="33"/>
      <c r="K99" s="758"/>
      <c r="L99" s="758"/>
      <c r="M99" s="758"/>
      <c r="N99" s="758"/>
      <c r="O99" s="770"/>
      <c r="P99" s="775"/>
      <c r="Q99" s="758"/>
      <c r="R99" s="758"/>
      <c r="S99" s="758"/>
      <c r="T99" s="1308"/>
      <c r="U99" s="1294"/>
      <c r="V99" s="1309"/>
      <c r="W99" s="1309"/>
      <c r="X99" s="1309"/>
      <c r="Y99" s="1287"/>
      <c r="Z99" s="1287"/>
      <c r="AA99" s="1287"/>
      <c r="AB99" s="1287"/>
      <c r="AC99" s="1287"/>
      <c r="AD99" s="769"/>
      <c r="AE99" s="769"/>
      <c r="AF99" s="769"/>
      <c r="AG99" s="769"/>
      <c r="AH99" s="758"/>
      <c r="AI99" s="758"/>
      <c r="AJ99" s="758"/>
      <c r="AK99" s="758"/>
      <c r="AL99" s="758"/>
      <c r="AM99" s="758"/>
      <c r="AN99" s="758"/>
      <c r="AO99" s="758"/>
      <c r="CI99" s="753"/>
      <c r="CJ99" s="753"/>
      <c r="CK99" s="753"/>
      <c r="CL99" s="753"/>
      <c r="CM99" s="753"/>
      <c r="CN99" s="753"/>
      <c r="CO99" s="753"/>
      <c r="CP99" s="753"/>
      <c r="CQ99" s="753"/>
      <c r="CR99" s="753"/>
      <c r="CS99" s="753"/>
      <c r="CT99" s="753"/>
      <c r="CU99" s="753"/>
      <c r="CV99" s="753"/>
      <c r="CW99" s="753"/>
      <c r="CX99" s="753"/>
      <c r="CY99" s="753"/>
      <c r="CZ99" s="753"/>
      <c r="DA99" s="753"/>
      <c r="DB99" s="753"/>
      <c r="DC99" s="753"/>
      <c r="DD99" s="753"/>
      <c r="DE99" s="753"/>
      <c r="DF99" s="753"/>
      <c r="DG99" s="753"/>
      <c r="DH99" s="776"/>
      <c r="DI99" s="758"/>
    </row>
    <row r="100" spans="1:113" ht="12.75" customHeight="1">
      <c r="A100" s="892"/>
      <c r="B100" s="784" t="s">
        <v>808</v>
      </c>
      <c r="C100" s="1334">
        <f>IF($P$61="Yes",1.5,"N.A.")</f>
        <v>1.5</v>
      </c>
      <c r="D100" s="773" t="s">
        <v>809</v>
      </c>
      <c r="E100" s="773"/>
      <c r="F100" s="773"/>
      <c r="G100" s="773"/>
      <c r="H100" s="773"/>
      <c r="I100" s="836"/>
      <c r="K100" s="758"/>
      <c r="L100" s="758"/>
      <c r="M100" s="758"/>
      <c r="N100" s="758"/>
      <c r="O100" s="753"/>
      <c r="P100" s="775"/>
      <c r="Q100" s="758"/>
      <c r="R100" s="758"/>
      <c r="S100" s="758"/>
      <c r="T100" s="1294"/>
      <c r="U100" s="1425"/>
      <c r="V100" s="1309"/>
      <c r="W100" s="1309"/>
      <c r="X100" s="1309"/>
      <c r="Y100" s="1287"/>
      <c r="Z100" s="1287"/>
      <c r="AA100" s="1287"/>
      <c r="AB100" s="1287"/>
      <c r="AC100" s="1287"/>
      <c r="AD100" s="769"/>
      <c r="AE100" s="769"/>
      <c r="AF100" s="769"/>
      <c r="AG100" s="769"/>
      <c r="AH100" s="758"/>
      <c r="AI100" s="758"/>
      <c r="AJ100" s="758"/>
      <c r="AK100" s="758"/>
      <c r="AL100" s="758"/>
      <c r="AM100" s="758"/>
      <c r="AN100" s="758"/>
      <c r="AO100" s="758"/>
      <c r="CI100" s="753"/>
      <c r="CJ100" s="753"/>
      <c r="CK100" s="753"/>
      <c r="CL100" s="753"/>
      <c r="CM100" s="753"/>
      <c r="CN100" s="753"/>
      <c r="CO100" s="753"/>
      <c r="CP100" s="753"/>
      <c r="CQ100" s="753"/>
      <c r="CR100" s="753"/>
      <c r="CS100" s="753"/>
      <c r="CT100" s="753"/>
      <c r="CU100" s="753"/>
      <c r="CV100" s="753"/>
      <c r="CW100" s="753"/>
      <c r="CX100" s="753"/>
      <c r="CY100" s="753"/>
      <c r="CZ100" s="753"/>
      <c r="DA100" s="753"/>
      <c r="DB100" s="753"/>
      <c r="DC100" s="753"/>
      <c r="DD100" s="753"/>
      <c r="DE100" s="753"/>
      <c r="DF100" s="753"/>
      <c r="DG100" s="753"/>
      <c r="DH100" s="776"/>
      <c r="DI100" s="758"/>
    </row>
    <row r="101" spans="1:113" ht="12.75" customHeight="1">
      <c r="A101" s="892"/>
      <c r="B101" s="784" t="s">
        <v>810</v>
      </c>
      <c r="C101" s="389">
        <f>IF($P$61="Yes",IF(OR($C$10="E",$C$10="F",MAX(0.5*$C$13*$C$9/$C$98,0.007)),MAX($C$40*$C$9/$C$98,0.007)),"N.A.")</f>
        <v>8.9079466666666662E-2</v>
      </c>
      <c r="D101" s="773" t="s">
        <v>811</v>
      </c>
      <c r="E101" s="773"/>
      <c r="F101" s="773"/>
      <c r="G101" s="773"/>
      <c r="H101" s="773"/>
      <c r="I101" s="836"/>
      <c r="K101" s="758"/>
      <c r="L101" s="758"/>
      <c r="M101" s="758"/>
      <c r="N101" s="758"/>
      <c r="O101" s="1255"/>
      <c r="P101" s="775"/>
      <c r="Q101" s="758"/>
      <c r="R101" s="758"/>
      <c r="S101" s="758"/>
      <c r="T101" s="1294"/>
      <c r="U101" s="1426"/>
      <c r="V101" s="1323"/>
      <c r="W101" s="1323"/>
      <c r="X101" s="1323"/>
      <c r="Y101" s="1323"/>
      <c r="Z101" s="1323"/>
      <c r="AA101" s="1323"/>
      <c r="AB101" s="1323"/>
      <c r="AC101" s="1323"/>
      <c r="AD101" s="769"/>
      <c r="AE101" s="769"/>
      <c r="AF101" s="769"/>
      <c r="AG101" s="769"/>
      <c r="AH101" s="758"/>
      <c r="AI101" s="758"/>
      <c r="AJ101" s="758"/>
      <c r="AK101" s="758"/>
      <c r="AL101" s="758"/>
      <c r="AM101" s="758"/>
      <c r="AN101" s="758"/>
      <c r="AO101" s="758"/>
      <c r="CI101" s="753"/>
      <c r="CJ101" s="753"/>
      <c r="CK101" s="753"/>
      <c r="CL101" s="753"/>
      <c r="CM101" s="753"/>
      <c r="CN101" s="753"/>
      <c r="CO101" s="753"/>
      <c r="CP101" s="753"/>
      <c r="CQ101" s="753"/>
      <c r="CR101" s="753"/>
      <c r="CS101" s="753"/>
      <c r="CT101" s="753"/>
      <c r="CU101" s="753"/>
      <c r="CV101" s="753"/>
      <c r="CW101" s="753"/>
      <c r="CX101" s="753"/>
      <c r="CY101" s="753"/>
      <c r="CZ101" s="753"/>
      <c r="DA101" s="753"/>
      <c r="DB101" s="753"/>
      <c r="DC101" s="753"/>
      <c r="DD101" s="753"/>
      <c r="DE101" s="753"/>
      <c r="DF101" s="753"/>
      <c r="DG101" s="753"/>
      <c r="DH101" s="776"/>
      <c r="DI101" s="758"/>
    </row>
    <row r="102" spans="1:113" ht="12.75" customHeight="1">
      <c r="A102" s="892"/>
      <c r="B102" s="784" t="s">
        <v>812</v>
      </c>
      <c r="C102" s="389">
        <f>IF($P$61="Yes",IF($C$80&lt;=$C$14,$C$100*$C$41*1/$C$80*$C$9/$C$99,$C$100*$C$41*$C$14/($C$80^2)*$C$9/$C$99),"N.A.")</f>
        <v>3.9806808346073932E-2</v>
      </c>
      <c r="D102" s="773" t="s">
        <v>813</v>
      </c>
      <c r="E102" s="773"/>
      <c r="F102" s="773"/>
      <c r="G102" s="773"/>
      <c r="H102" s="773"/>
      <c r="I102" s="836"/>
      <c r="K102" s="758"/>
      <c r="L102" s="758"/>
      <c r="M102" s="758"/>
      <c r="N102" s="758"/>
      <c r="O102" s="819"/>
      <c r="P102" s="775"/>
      <c r="Q102" s="758"/>
      <c r="R102" s="758"/>
      <c r="S102" s="758"/>
      <c r="T102" s="1294"/>
      <c r="U102" s="1294"/>
      <c r="V102" s="1294"/>
      <c r="W102" s="1294"/>
      <c r="X102" s="1294"/>
      <c r="Y102" s="1294"/>
      <c r="Z102" s="1294"/>
      <c r="AA102" s="1294"/>
      <c r="AB102" s="1294"/>
      <c r="AC102" s="1294"/>
      <c r="AD102" s="1294"/>
      <c r="AE102" s="1294"/>
      <c r="AF102" s="1294"/>
      <c r="AG102" s="1294"/>
      <c r="AH102" s="758"/>
      <c r="AI102" s="758"/>
      <c r="AJ102" s="758"/>
      <c r="AK102" s="758"/>
      <c r="AL102" s="758"/>
      <c r="AM102" s="758"/>
      <c r="AN102" s="758"/>
      <c r="AO102" s="758"/>
      <c r="CI102" s="753"/>
      <c r="CJ102" s="753"/>
      <c r="CK102" s="753"/>
      <c r="CL102" s="753"/>
      <c r="CM102" s="753"/>
      <c r="CN102" s="753"/>
      <c r="CO102" s="753"/>
      <c r="CP102" s="753"/>
      <c r="CQ102" s="753"/>
      <c r="CR102" s="753"/>
      <c r="CS102" s="753"/>
      <c r="CT102" s="753"/>
      <c r="CU102" s="753"/>
      <c r="CV102" s="753"/>
      <c r="CW102" s="753"/>
      <c r="CX102" s="753"/>
      <c r="CY102" s="753"/>
      <c r="CZ102" s="753"/>
      <c r="DA102" s="753"/>
      <c r="DB102" s="753"/>
      <c r="DC102" s="753"/>
      <c r="DD102" s="753"/>
      <c r="DE102" s="753"/>
      <c r="DF102" s="753"/>
      <c r="DG102" s="753"/>
      <c r="DH102" s="776"/>
      <c r="DI102" s="758"/>
    </row>
    <row r="103" spans="1:113" ht="12.75" customHeight="1">
      <c r="A103" s="892"/>
      <c r="B103" s="895" t="s">
        <v>814</v>
      </c>
      <c r="C103" s="1334">
        <f>IF($P$61="Yes",$C$85*($C$20*$C$15+$C$21*$C$95+$C$83*$C$96)+$C$87*$C$84*$C$97,"N.A.")</f>
        <v>1230.1462223909423</v>
      </c>
      <c r="D103" s="852" t="s">
        <v>815</v>
      </c>
      <c r="E103" s="773"/>
      <c r="F103" s="773"/>
      <c r="G103" s="773"/>
      <c r="H103" s="773"/>
      <c r="I103" s="836"/>
      <c r="K103" s="778"/>
      <c r="L103" s="758"/>
      <c r="M103" s="758"/>
      <c r="N103" s="758"/>
      <c r="O103" s="819"/>
      <c r="P103" s="775"/>
      <c r="Q103" s="758"/>
      <c r="R103" s="758"/>
      <c r="S103" s="758"/>
      <c r="T103" s="758"/>
      <c r="U103" s="758"/>
      <c r="V103" s="758"/>
      <c r="W103" s="758"/>
      <c r="X103" s="758"/>
      <c r="Y103" s="758"/>
      <c r="Z103" s="758"/>
      <c r="AA103" s="758"/>
      <c r="AB103" s="758"/>
      <c r="AC103" s="758"/>
      <c r="AD103" s="758"/>
      <c r="AE103" s="758"/>
      <c r="AF103" s="758"/>
      <c r="AG103" s="758"/>
      <c r="AH103" s="758"/>
      <c r="AI103" s="758"/>
      <c r="AJ103" s="895"/>
      <c r="AK103" s="758"/>
      <c r="AL103" s="758"/>
      <c r="AM103" s="758"/>
      <c r="AN103" s="758"/>
      <c r="AO103" s="758"/>
      <c r="CI103" s="753"/>
      <c r="CJ103" s="753"/>
      <c r="CK103" s="753"/>
      <c r="CL103" s="753"/>
      <c r="CM103" s="753"/>
      <c r="CN103" s="753"/>
      <c r="CO103" s="753"/>
      <c r="CP103" s="753"/>
      <c r="CQ103" s="753"/>
      <c r="CR103" s="753"/>
      <c r="CS103" s="753"/>
      <c r="CT103" s="753"/>
      <c r="CU103" s="753"/>
      <c r="CV103" s="753"/>
      <c r="CW103" s="753"/>
      <c r="CX103" s="753"/>
      <c r="CY103" s="753"/>
      <c r="CZ103" s="753"/>
      <c r="DA103" s="753"/>
      <c r="DB103" s="753"/>
      <c r="DC103" s="753"/>
      <c r="DD103" s="753"/>
      <c r="DE103" s="753"/>
      <c r="DF103" s="753"/>
      <c r="DG103" s="753"/>
      <c r="DH103" s="776"/>
      <c r="DI103" s="758"/>
    </row>
    <row r="104" spans="1:113" ht="12.75" customHeight="1">
      <c r="A104" s="892"/>
      <c r="B104" s="895" t="s">
        <v>816</v>
      </c>
      <c r="C104" s="1334">
        <f>IF($P$61="Yes",SQRT(($C$85*($C$20*$C$15+$C$21*$C$95+$C$83*$C$96))^2+($C$87*$C$84*$C$97)^2),"N.A.")</f>
        <v>1026.8302468607578</v>
      </c>
      <c r="D104" s="852" t="s">
        <v>817</v>
      </c>
      <c r="E104" s="773"/>
      <c r="F104" s="773"/>
      <c r="G104" s="773"/>
      <c r="H104" s="773"/>
      <c r="I104" s="836"/>
      <c r="K104" s="769"/>
      <c r="L104" s="758"/>
      <c r="M104" s="758"/>
      <c r="N104" s="758"/>
      <c r="O104" s="819"/>
      <c r="P104" s="775"/>
      <c r="Q104" s="758"/>
      <c r="R104" s="758"/>
      <c r="S104" s="758"/>
      <c r="T104" s="758"/>
      <c r="U104" s="758"/>
      <c r="V104" s="758"/>
      <c r="W104" s="758"/>
      <c r="X104" s="758"/>
      <c r="Y104" s="758"/>
      <c r="Z104" s="758"/>
      <c r="AA104" s="758"/>
      <c r="AB104" s="758"/>
      <c r="AC104" s="758"/>
      <c r="AD104" s="758"/>
      <c r="AE104" s="758"/>
      <c r="AF104" s="758"/>
      <c r="AG104" s="758"/>
      <c r="AH104" s="758"/>
      <c r="AI104" s="758"/>
      <c r="AJ104" s="895"/>
      <c r="AK104" s="758"/>
      <c r="AL104" s="758"/>
      <c r="AM104" s="758"/>
      <c r="AN104" s="758"/>
      <c r="AO104" s="758"/>
      <c r="CI104" s="753"/>
      <c r="CJ104" s="753"/>
      <c r="CK104" s="753"/>
      <c r="CL104" s="753"/>
      <c r="CM104" s="753"/>
      <c r="CN104" s="753"/>
      <c r="CO104" s="753"/>
      <c r="CP104" s="753"/>
      <c r="CQ104" s="753"/>
      <c r="CR104" s="753"/>
      <c r="CS104" s="753"/>
      <c r="CT104" s="753"/>
      <c r="CU104" s="753"/>
      <c r="CV104" s="753"/>
      <c r="CW104" s="753"/>
      <c r="CX104" s="753"/>
      <c r="CY104" s="753"/>
      <c r="CZ104" s="753"/>
      <c r="DA104" s="753"/>
      <c r="DB104" s="753"/>
      <c r="DC104" s="753"/>
      <c r="DD104" s="753"/>
      <c r="DE104" s="753"/>
      <c r="DF104" s="753"/>
      <c r="DG104" s="753"/>
      <c r="DH104" s="776"/>
      <c r="DI104" s="758"/>
    </row>
    <row r="105" spans="1:113" ht="12.75" customHeight="1">
      <c r="A105" s="892"/>
      <c r="B105" s="895" t="s">
        <v>818</v>
      </c>
      <c r="C105" s="1334">
        <f>IF($P$61="Yes",$C$101*($C$20*$C$15+$C$21*$C$95+$C$83*$C$96)+$C$102*$C$84*$C$97,"N.A.")</f>
        <v>922.60966679320677</v>
      </c>
      <c r="D105" s="852" t="s">
        <v>819</v>
      </c>
      <c r="E105" s="773"/>
      <c r="F105" s="773"/>
      <c r="G105" s="773"/>
      <c r="H105" s="773"/>
      <c r="I105" s="836"/>
      <c r="J105" s="33"/>
      <c r="K105" s="769"/>
      <c r="L105" s="758"/>
      <c r="M105" s="758"/>
      <c r="N105" s="758"/>
      <c r="O105" s="819"/>
      <c r="P105" s="775"/>
      <c r="Q105" s="758"/>
      <c r="R105" s="758"/>
      <c r="S105" s="758"/>
      <c r="T105" s="758"/>
      <c r="U105" s="758"/>
      <c r="V105" s="758"/>
      <c r="W105" s="758"/>
      <c r="X105" s="758"/>
      <c r="Y105" s="758"/>
      <c r="Z105" s="758"/>
      <c r="AA105" s="758"/>
      <c r="AB105" s="758"/>
      <c r="AC105" s="758"/>
      <c r="AD105" s="758"/>
      <c r="AE105" s="758"/>
      <c r="AF105" s="758"/>
      <c r="AG105" s="758"/>
      <c r="AH105" s="758"/>
      <c r="AI105" s="758"/>
      <c r="AJ105" s="895"/>
      <c r="AK105" s="758"/>
      <c r="AL105" s="758"/>
      <c r="AM105" s="758"/>
      <c r="AN105" s="758"/>
      <c r="AO105" s="758"/>
      <c r="CI105" s="753"/>
      <c r="CJ105" s="753"/>
      <c r="CK105" s="753"/>
      <c r="CL105" s="753"/>
      <c r="CM105" s="753"/>
      <c r="CN105" s="753"/>
      <c r="CO105" s="753"/>
      <c r="CP105" s="753"/>
      <c r="CQ105" s="753"/>
      <c r="CR105" s="753"/>
      <c r="CS105" s="753"/>
      <c r="CT105" s="753"/>
      <c r="CU105" s="753"/>
      <c r="CV105" s="753"/>
      <c r="CW105" s="753"/>
      <c r="CX105" s="753"/>
      <c r="CY105" s="753"/>
      <c r="CZ105" s="753"/>
      <c r="DA105" s="753"/>
      <c r="DB105" s="753"/>
      <c r="DC105" s="753"/>
      <c r="DD105" s="753"/>
      <c r="DE105" s="753"/>
      <c r="DF105" s="753"/>
      <c r="DG105" s="753"/>
      <c r="DH105" s="776"/>
      <c r="DI105" s="758"/>
    </row>
    <row r="106" spans="1:113" ht="12.75" customHeight="1">
      <c r="A106" s="892"/>
      <c r="B106" s="895" t="s">
        <v>820</v>
      </c>
      <c r="C106" s="1329">
        <f>IF($P$61="Yes",SQRT(($C$101*($C$20*$C$15+$C$21*$C$95+$C$83*$C$96))^2+($C$102*$C$84*$C$97)^2),"N.A.")</f>
        <v>770.12268514556831</v>
      </c>
      <c r="D106" s="852" t="s">
        <v>821</v>
      </c>
      <c r="E106" s="780"/>
      <c r="F106" s="780"/>
      <c r="G106" s="780"/>
      <c r="H106" s="780"/>
      <c r="I106" s="829"/>
      <c r="J106" s="33"/>
      <c r="K106" s="769"/>
      <c r="L106" s="758"/>
      <c r="M106" s="758"/>
      <c r="N106" s="758"/>
      <c r="O106" s="819"/>
      <c r="P106" s="775"/>
      <c r="Q106" s="758"/>
      <c r="R106" s="758"/>
      <c r="S106" s="758"/>
      <c r="T106" s="758"/>
      <c r="U106" s="758"/>
      <c r="V106" s="758"/>
      <c r="W106" s="758"/>
      <c r="X106" s="758"/>
      <c r="Y106" s="758"/>
      <c r="Z106" s="758"/>
      <c r="AA106" s="758"/>
      <c r="AB106" s="758"/>
      <c r="AC106" s="758"/>
      <c r="AD106" s="758"/>
      <c r="AE106" s="758"/>
      <c r="AF106" s="758"/>
      <c r="AG106" s="758"/>
      <c r="AH106" s="758"/>
      <c r="AI106" s="758"/>
      <c r="AJ106" s="895"/>
      <c r="AK106" s="758"/>
      <c r="AL106" s="758"/>
      <c r="AM106" s="758"/>
      <c r="AN106" s="758"/>
      <c r="AO106" s="758"/>
      <c r="CI106" s="753"/>
      <c r="CJ106" s="753"/>
      <c r="CK106" s="753"/>
      <c r="CL106" s="753"/>
      <c r="CM106" s="753"/>
      <c r="CN106" s="753"/>
      <c r="CO106" s="753"/>
      <c r="CP106" s="753"/>
      <c r="CQ106" s="753"/>
      <c r="CR106" s="753"/>
      <c r="CS106" s="753"/>
      <c r="CT106" s="753"/>
      <c r="CU106" s="753"/>
      <c r="CV106" s="753"/>
      <c r="CW106" s="753"/>
      <c r="CX106" s="753"/>
      <c r="CY106" s="753"/>
      <c r="CZ106" s="753"/>
      <c r="DA106" s="753"/>
      <c r="DB106" s="753"/>
      <c r="DC106" s="753"/>
      <c r="DD106" s="753"/>
      <c r="DE106" s="753"/>
      <c r="DF106" s="753"/>
      <c r="DG106" s="753"/>
      <c r="DH106" s="776"/>
      <c r="DI106" s="758"/>
    </row>
    <row r="107" spans="1:113" ht="12.75" customHeight="1">
      <c r="A107" s="892"/>
      <c r="B107" s="780"/>
      <c r="C107" s="774"/>
      <c r="D107" s="773" t="s">
        <v>822</v>
      </c>
      <c r="E107" s="780"/>
      <c r="F107" s="780"/>
      <c r="G107" s="780"/>
      <c r="H107" s="780"/>
      <c r="I107" s="829"/>
      <c r="J107" s="33"/>
      <c r="K107" s="769"/>
      <c r="L107" s="758"/>
      <c r="M107" s="758"/>
      <c r="N107" s="758"/>
      <c r="O107" s="819"/>
      <c r="P107" s="775"/>
      <c r="Q107" s="758"/>
      <c r="R107" s="758"/>
      <c r="S107" s="758"/>
      <c r="T107" s="758"/>
      <c r="U107" s="758"/>
      <c r="V107" s="758"/>
      <c r="W107" s="758"/>
      <c r="X107" s="758"/>
      <c r="Y107" s="758"/>
      <c r="Z107" s="758"/>
      <c r="AA107" s="758"/>
      <c r="AB107" s="758"/>
      <c r="AC107" s="758"/>
      <c r="AD107" s="758"/>
      <c r="AE107" s="758"/>
      <c r="AF107" s="758"/>
      <c r="AG107" s="758"/>
      <c r="AH107" s="758"/>
      <c r="AI107" s="758"/>
      <c r="AJ107" s="758"/>
      <c r="AK107" s="758"/>
      <c r="AL107" s="758"/>
      <c r="AM107" s="758"/>
      <c r="AN107" s="758"/>
      <c r="AO107" s="758"/>
      <c r="CI107" s="753"/>
      <c r="CJ107" s="753"/>
      <c r="CK107" s="753"/>
      <c r="CL107" s="753"/>
      <c r="CM107" s="753"/>
      <c r="CN107" s="753"/>
      <c r="CO107" s="753"/>
      <c r="CP107" s="753"/>
      <c r="CQ107" s="753"/>
      <c r="CR107" s="753"/>
      <c r="CS107" s="753"/>
      <c r="CT107" s="753"/>
      <c r="CU107" s="753"/>
      <c r="CV107" s="753"/>
      <c r="CW107" s="753"/>
      <c r="CX107" s="753"/>
      <c r="CY107" s="753"/>
      <c r="CZ107" s="753"/>
      <c r="DA107" s="753"/>
      <c r="DB107" s="753"/>
      <c r="DC107" s="753"/>
      <c r="DD107" s="753"/>
      <c r="DE107" s="753"/>
      <c r="DF107" s="753"/>
      <c r="DG107" s="753"/>
      <c r="DH107" s="776"/>
      <c r="DI107" s="758"/>
    </row>
    <row r="108" spans="1:113" ht="12.75" customHeight="1">
      <c r="A108" s="857"/>
      <c r="B108" s="780"/>
      <c r="C108" s="774"/>
      <c r="D108" s="780"/>
      <c r="E108" s="780"/>
      <c r="F108" s="780"/>
      <c r="G108" s="780"/>
      <c r="H108" s="780"/>
      <c r="I108" s="829"/>
      <c r="J108" s="33"/>
      <c r="K108" s="769"/>
      <c r="L108" s="758"/>
      <c r="M108" s="758"/>
      <c r="N108" s="758"/>
      <c r="O108" s="819"/>
      <c r="P108" s="783"/>
      <c r="Q108" s="758"/>
      <c r="R108" s="758"/>
      <c r="S108" s="758"/>
      <c r="T108" s="758"/>
      <c r="U108" s="758"/>
      <c r="V108" s="758"/>
      <c r="W108" s="758"/>
      <c r="X108" s="758"/>
      <c r="Y108" s="758"/>
      <c r="Z108" s="758"/>
      <c r="AA108" s="758"/>
      <c r="AB108" s="758"/>
      <c r="AC108" s="758"/>
      <c r="AD108" s="758"/>
      <c r="AE108" s="758"/>
      <c r="AF108" s="758"/>
      <c r="AG108" s="758"/>
      <c r="AH108" s="758"/>
      <c r="AI108" s="758"/>
      <c r="AJ108" s="758"/>
      <c r="AK108" s="758"/>
      <c r="AL108" s="758"/>
      <c r="AM108" s="758"/>
      <c r="AN108" s="758"/>
      <c r="AO108" s="758"/>
      <c r="CI108" s="753"/>
      <c r="CJ108" s="753"/>
      <c r="CK108" s="753"/>
      <c r="CL108" s="753"/>
      <c r="CM108" s="753"/>
      <c r="CN108" s="753"/>
      <c r="CO108" s="753"/>
      <c r="CP108" s="753"/>
      <c r="CQ108" s="753"/>
      <c r="CR108" s="753"/>
      <c r="CS108" s="753"/>
      <c r="CT108" s="753"/>
      <c r="CU108" s="753"/>
      <c r="CV108" s="753"/>
      <c r="CW108" s="753"/>
      <c r="CX108" s="753"/>
      <c r="CY108" s="753"/>
      <c r="CZ108" s="753"/>
      <c r="DA108" s="753"/>
      <c r="DB108" s="753"/>
      <c r="DC108" s="753"/>
      <c r="DD108" s="753"/>
      <c r="DE108" s="753"/>
      <c r="DF108" s="753"/>
      <c r="DG108" s="753"/>
      <c r="DH108" s="776"/>
      <c r="DI108" s="758"/>
    </row>
    <row r="109" spans="1:113" ht="12.75" customHeight="1">
      <c r="A109" s="854" t="s">
        <v>104</v>
      </c>
      <c r="B109" s="847"/>
      <c r="C109" s="847"/>
      <c r="D109" s="847"/>
      <c r="E109" s="847"/>
      <c r="F109" s="847"/>
      <c r="G109" s="847"/>
      <c r="H109" s="847"/>
      <c r="I109" s="877"/>
      <c r="J109" s="33"/>
      <c r="K109" s="769"/>
      <c r="L109" s="758"/>
      <c r="M109" s="758"/>
      <c r="N109" s="758"/>
      <c r="O109" s="819"/>
      <c r="P109" s="783"/>
      <c r="Q109" s="758"/>
      <c r="R109" s="758"/>
      <c r="S109" s="758"/>
      <c r="T109" s="758"/>
      <c r="U109" s="758"/>
      <c r="V109" s="758"/>
      <c r="W109" s="758"/>
      <c r="X109" s="758"/>
      <c r="Y109" s="758"/>
      <c r="Z109" s="758"/>
      <c r="AA109" s="758"/>
      <c r="AB109" s="758"/>
      <c r="AC109" s="758"/>
      <c r="AD109" s="758"/>
      <c r="AE109" s="758"/>
      <c r="AF109" s="758"/>
      <c r="AG109" s="758"/>
      <c r="AH109" s="758"/>
      <c r="AI109" s="758"/>
      <c r="AJ109" s="758"/>
      <c r="AK109" s="758"/>
      <c r="AL109" s="758"/>
      <c r="AM109" s="758"/>
      <c r="AN109" s="758"/>
      <c r="AO109" s="758"/>
      <c r="CI109" s="753"/>
      <c r="CJ109" s="753"/>
      <c r="CK109" s="753"/>
      <c r="CL109" s="753"/>
      <c r="CM109" s="753"/>
      <c r="CN109" s="753"/>
      <c r="CO109" s="753"/>
      <c r="CP109" s="753"/>
      <c r="CQ109" s="753"/>
      <c r="CR109" s="753"/>
      <c r="CS109" s="753"/>
      <c r="CT109" s="753"/>
      <c r="CU109" s="753"/>
      <c r="CV109" s="753"/>
      <c r="CW109" s="753"/>
      <c r="CX109" s="753"/>
      <c r="CY109" s="753"/>
      <c r="CZ109" s="753"/>
      <c r="DA109" s="753"/>
      <c r="DB109" s="753"/>
      <c r="DC109" s="753"/>
      <c r="DD109" s="753"/>
      <c r="DE109" s="753"/>
      <c r="DF109" s="753"/>
      <c r="DG109" s="753"/>
      <c r="DH109" s="776"/>
      <c r="DI109" s="758"/>
    </row>
    <row r="110" spans="1:113" ht="12.75" customHeight="1">
      <c r="A110" s="898"/>
      <c r="B110" s="847"/>
      <c r="C110" s="847"/>
      <c r="D110" s="847"/>
      <c r="E110" s="847"/>
      <c r="F110" s="847"/>
      <c r="G110" s="847"/>
      <c r="H110" s="847"/>
      <c r="I110" s="877"/>
      <c r="J110" s="33"/>
      <c r="K110" s="769"/>
      <c r="L110" s="758"/>
      <c r="M110" s="758"/>
      <c r="N110" s="758"/>
      <c r="O110" s="819"/>
      <c r="P110" s="775"/>
      <c r="Q110" s="758"/>
      <c r="R110" s="758"/>
      <c r="S110" s="758"/>
      <c r="T110" s="758"/>
      <c r="U110" s="758"/>
      <c r="V110" s="758"/>
      <c r="W110" s="758"/>
      <c r="X110" s="758"/>
      <c r="Y110" s="758"/>
      <c r="Z110" s="758"/>
      <c r="AA110" s="758"/>
      <c r="AB110" s="758"/>
      <c r="AC110" s="758"/>
      <c r="AD110" s="758"/>
      <c r="AE110" s="758"/>
      <c r="AF110" s="758"/>
      <c r="AG110" s="758"/>
      <c r="AH110" s="758"/>
      <c r="AI110" s="758"/>
      <c r="AJ110" s="758"/>
      <c r="AK110" s="758"/>
      <c r="AL110" s="758"/>
      <c r="AM110" s="758"/>
      <c r="AN110" s="758"/>
      <c r="AO110" s="758"/>
      <c r="CI110" s="753"/>
      <c r="CJ110" s="753"/>
      <c r="CK110" s="753"/>
      <c r="CL110" s="753"/>
      <c r="CM110" s="753"/>
      <c r="CN110" s="753"/>
      <c r="CO110" s="753"/>
      <c r="CP110" s="753"/>
      <c r="CQ110" s="753"/>
      <c r="CR110" s="753"/>
      <c r="CS110" s="753"/>
      <c r="CT110" s="753"/>
      <c r="CU110" s="753"/>
      <c r="CV110" s="753"/>
      <c r="CW110" s="753"/>
      <c r="CX110" s="753"/>
      <c r="CY110" s="753"/>
      <c r="CZ110" s="753"/>
      <c r="DA110" s="753"/>
      <c r="DB110" s="753"/>
      <c r="DC110" s="753"/>
      <c r="DD110" s="753"/>
      <c r="DE110" s="753"/>
      <c r="DF110" s="753"/>
      <c r="DG110" s="753"/>
      <c r="DH110" s="776"/>
      <c r="DI110" s="758"/>
    </row>
    <row r="111" spans="1:113" ht="12.75" customHeight="1">
      <c r="A111" s="898"/>
      <c r="B111" s="847"/>
      <c r="C111" s="847"/>
      <c r="D111" s="847"/>
      <c r="E111" s="847"/>
      <c r="F111" s="847"/>
      <c r="G111" s="847"/>
      <c r="H111" s="847"/>
      <c r="I111" s="877"/>
      <c r="J111" s="33"/>
      <c r="K111" s="769"/>
      <c r="L111" s="758"/>
      <c r="M111" s="758"/>
      <c r="N111" s="758"/>
      <c r="O111" s="819"/>
      <c r="P111" s="775"/>
      <c r="Q111" s="758"/>
      <c r="R111" s="758"/>
      <c r="S111" s="758"/>
      <c r="T111" s="758"/>
      <c r="U111" s="758"/>
      <c r="V111" s="758"/>
      <c r="W111" s="758"/>
      <c r="X111" s="758"/>
      <c r="Y111" s="758"/>
      <c r="Z111" s="758"/>
      <c r="AA111" s="758"/>
      <c r="AB111" s="758"/>
      <c r="AC111" s="758"/>
      <c r="AD111" s="758"/>
      <c r="AE111" s="758"/>
      <c r="AF111" s="758"/>
      <c r="AG111" s="758"/>
      <c r="AH111" s="758"/>
      <c r="AI111" s="758"/>
      <c r="AJ111" s="758"/>
      <c r="AK111" s="758"/>
      <c r="AL111" s="758"/>
      <c r="AM111" s="758"/>
      <c r="AN111" s="758"/>
      <c r="AO111" s="758"/>
      <c r="CI111" s="753"/>
      <c r="CJ111" s="753"/>
      <c r="CK111" s="753"/>
      <c r="CL111" s="753"/>
      <c r="CM111" s="753"/>
      <c r="CN111" s="753"/>
      <c r="CO111" s="753"/>
      <c r="CP111" s="753"/>
      <c r="CQ111" s="753"/>
      <c r="CR111" s="753"/>
      <c r="CS111" s="753"/>
      <c r="CT111" s="753"/>
      <c r="CU111" s="753"/>
      <c r="CV111" s="753"/>
      <c r="CW111" s="753"/>
      <c r="CX111" s="753"/>
      <c r="CY111" s="753"/>
      <c r="CZ111" s="753"/>
      <c r="DA111" s="753"/>
      <c r="DB111" s="753"/>
      <c r="DC111" s="753"/>
      <c r="DD111" s="753"/>
      <c r="DE111" s="753"/>
      <c r="DF111" s="753"/>
      <c r="DG111" s="753"/>
      <c r="DH111" s="776"/>
      <c r="DI111" s="758"/>
    </row>
    <row r="112" spans="1:113" ht="12.75" customHeight="1">
      <c r="A112" s="1259"/>
      <c r="B112" s="878"/>
      <c r="C112" s="878"/>
      <c r="D112" s="878"/>
      <c r="E112" s="878"/>
      <c r="F112" s="878"/>
      <c r="G112" s="878"/>
      <c r="H112" s="878"/>
      <c r="I112" s="879"/>
      <c r="J112" s="33"/>
      <c r="K112" s="769"/>
      <c r="L112" s="758"/>
      <c r="M112" s="758"/>
      <c r="N112" s="758"/>
      <c r="O112" s="819"/>
      <c r="P112" s="775"/>
      <c r="Q112" s="758"/>
      <c r="R112" s="758"/>
      <c r="S112" s="758"/>
      <c r="T112" s="758"/>
      <c r="U112" s="758"/>
      <c r="V112" s="758"/>
      <c r="W112" s="758"/>
      <c r="X112" s="758"/>
      <c r="Y112" s="758"/>
      <c r="Z112" s="758"/>
      <c r="AA112" s="758"/>
      <c r="AB112" s="758"/>
      <c r="AC112" s="758"/>
      <c r="AD112" s="758"/>
      <c r="AE112" s="758"/>
      <c r="AF112" s="758"/>
      <c r="AG112" s="758"/>
      <c r="AH112" s="758"/>
      <c r="AI112" s="758"/>
      <c r="AJ112" s="758"/>
      <c r="AK112" s="758"/>
      <c r="AL112" s="758"/>
      <c r="AM112" s="758"/>
      <c r="AN112" s="758"/>
      <c r="AO112" s="758"/>
      <c r="CI112" s="753"/>
      <c r="CJ112" s="753"/>
      <c r="CK112" s="753"/>
      <c r="CL112" s="753"/>
      <c r="CM112" s="753"/>
      <c r="CN112" s="753"/>
      <c r="CO112" s="753"/>
      <c r="CP112" s="753"/>
      <c r="CQ112" s="753"/>
      <c r="CR112" s="753"/>
      <c r="CS112" s="753"/>
      <c r="CT112" s="753"/>
      <c r="CU112" s="753"/>
      <c r="CV112" s="753"/>
      <c r="CW112" s="753"/>
      <c r="CX112" s="753"/>
      <c r="CY112" s="753"/>
      <c r="CZ112" s="753"/>
      <c r="DA112" s="753"/>
      <c r="DB112" s="753"/>
      <c r="DC112" s="753"/>
      <c r="DD112" s="753"/>
      <c r="DE112" s="753"/>
      <c r="DF112" s="753"/>
      <c r="DG112" s="753"/>
      <c r="DH112" s="776"/>
      <c r="DI112" s="758"/>
    </row>
    <row r="113" spans="1:113" ht="12.75" customHeight="1">
      <c r="A113" s="780"/>
      <c r="B113" s="780"/>
      <c r="C113" s="780"/>
      <c r="D113" s="780"/>
      <c r="E113" s="780"/>
      <c r="F113" s="780"/>
      <c r="G113" s="780"/>
      <c r="H113" s="788"/>
      <c r="I113" s="789"/>
      <c r="J113" s="33"/>
      <c r="K113" s="769"/>
      <c r="L113" s="758"/>
      <c r="M113" s="758"/>
      <c r="N113" s="758"/>
      <c r="O113" s="819"/>
      <c r="P113" s="775"/>
      <c r="Q113" s="758"/>
      <c r="R113" s="758"/>
      <c r="S113" s="758"/>
      <c r="T113" s="758"/>
      <c r="U113" s="758"/>
      <c r="V113" s="758"/>
      <c r="W113" s="758"/>
      <c r="X113" s="758"/>
      <c r="Y113" s="758"/>
      <c r="Z113" s="758"/>
      <c r="AA113" s="758"/>
      <c r="AB113" s="758"/>
      <c r="AC113" s="758"/>
      <c r="AD113" s="758"/>
      <c r="AE113" s="758"/>
      <c r="AF113" s="758"/>
      <c r="AG113" s="758"/>
      <c r="AH113" s="758"/>
      <c r="AI113" s="758"/>
      <c r="AJ113" s="758"/>
      <c r="AK113" s="758"/>
      <c r="AL113" s="758"/>
      <c r="AM113" s="758"/>
      <c r="AN113" s="758"/>
      <c r="AO113" s="758"/>
      <c r="CI113" s="753"/>
      <c r="CJ113" s="753"/>
      <c r="CK113" s="753"/>
      <c r="CL113" s="753"/>
      <c r="CM113" s="753"/>
      <c r="CN113" s="753"/>
      <c r="CO113" s="753"/>
      <c r="CP113" s="753"/>
      <c r="CQ113" s="753"/>
      <c r="CR113" s="753"/>
      <c r="CS113" s="753"/>
      <c r="CT113" s="753"/>
      <c r="CU113" s="753"/>
      <c r="CV113" s="753"/>
      <c r="CW113" s="753"/>
      <c r="CX113" s="753"/>
      <c r="CY113" s="753"/>
      <c r="CZ113" s="753"/>
      <c r="DA113" s="753"/>
      <c r="DB113" s="753"/>
      <c r="DC113" s="753"/>
      <c r="DD113" s="753"/>
      <c r="DE113" s="753"/>
      <c r="DF113" s="753"/>
      <c r="DG113" s="753"/>
      <c r="DH113" s="776"/>
      <c r="DI113" s="758"/>
    </row>
    <row r="114" spans="1:113">
      <c r="A114" s="780"/>
      <c r="B114" s="780"/>
      <c r="C114" s="780"/>
      <c r="D114" s="780"/>
      <c r="E114" s="780"/>
      <c r="F114" s="780"/>
      <c r="G114" s="780"/>
      <c r="H114" s="788"/>
      <c r="I114" s="790"/>
      <c r="J114" s="33"/>
      <c r="K114" s="769"/>
      <c r="L114" s="758"/>
      <c r="M114" s="758"/>
      <c r="N114" s="758"/>
      <c r="O114" s="819"/>
      <c r="P114" s="770"/>
      <c r="Q114" s="758"/>
      <c r="R114" s="758"/>
      <c r="S114" s="758"/>
      <c r="T114" s="758"/>
      <c r="U114" s="758"/>
      <c r="V114" s="758"/>
      <c r="W114" s="758"/>
      <c r="X114" s="758"/>
      <c r="Y114" s="758"/>
      <c r="Z114" s="758"/>
      <c r="AA114" s="758"/>
      <c r="AB114" s="758"/>
      <c r="AC114" s="758"/>
      <c r="AD114" s="758"/>
      <c r="AE114" s="758"/>
      <c r="AF114" s="758"/>
      <c r="AG114" s="758"/>
      <c r="AH114" s="758"/>
      <c r="AI114" s="758"/>
      <c r="AJ114" s="758"/>
      <c r="AK114" s="758"/>
      <c r="AL114" s="758"/>
      <c r="AM114" s="758"/>
      <c r="AN114" s="758"/>
      <c r="AO114" s="758"/>
      <c r="CI114" s="753"/>
      <c r="CJ114" s="753"/>
      <c r="CK114" s="753"/>
      <c r="CL114" s="753"/>
      <c r="CM114" s="753"/>
      <c r="CN114" s="753"/>
      <c r="CO114" s="753"/>
      <c r="CP114" s="753"/>
      <c r="CQ114" s="753"/>
      <c r="CR114" s="753"/>
      <c r="CS114" s="753"/>
      <c r="CT114" s="753"/>
      <c r="CU114" s="753"/>
      <c r="CV114" s="753"/>
      <c r="CW114" s="753"/>
      <c r="CX114" s="753"/>
      <c r="CY114" s="753"/>
      <c r="CZ114" s="753"/>
      <c r="DA114" s="753"/>
      <c r="DB114" s="753"/>
      <c r="DC114" s="753"/>
      <c r="DD114" s="753"/>
      <c r="DE114" s="753"/>
      <c r="DF114" s="753"/>
      <c r="DG114" s="753"/>
      <c r="DH114" s="776"/>
      <c r="DI114" s="758"/>
    </row>
    <row r="115" spans="1:113">
      <c r="A115" s="780"/>
      <c r="B115" s="780"/>
      <c r="C115" s="780"/>
      <c r="D115" s="780"/>
      <c r="E115" s="780"/>
      <c r="F115" s="780"/>
      <c r="G115" s="780"/>
      <c r="H115" s="788"/>
      <c r="I115" s="769"/>
      <c r="J115" s="33"/>
      <c r="K115" s="769"/>
      <c r="L115" s="758"/>
      <c r="M115" s="758"/>
      <c r="N115" s="758"/>
      <c r="O115" s="819"/>
      <c r="P115" s="775"/>
      <c r="Q115" s="758"/>
      <c r="R115" s="758"/>
      <c r="S115" s="758"/>
      <c r="T115" s="758"/>
      <c r="U115" s="758"/>
      <c r="V115" s="758"/>
      <c r="W115" s="758"/>
      <c r="X115" s="758"/>
      <c r="Y115" s="758"/>
      <c r="Z115" s="758"/>
      <c r="AA115" s="758"/>
      <c r="AB115" s="758"/>
      <c r="AC115" s="758"/>
      <c r="AD115" s="758"/>
      <c r="AE115" s="758"/>
      <c r="AF115" s="758"/>
      <c r="AG115" s="758"/>
      <c r="AH115" s="758"/>
      <c r="AI115" s="758"/>
      <c r="AJ115" s="758"/>
      <c r="AK115" s="758"/>
      <c r="AL115" s="758"/>
      <c r="AM115" s="758"/>
      <c r="AN115" s="758"/>
      <c r="AO115" s="758"/>
      <c r="CI115" s="753"/>
      <c r="CJ115" s="753"/>
      <c r="CK115" s="753"/>
      <c r="CL115" s="753"/>
      <c r="CM115" s="753"/>
      <c r="CN115" s="753"/>
      <c r="CO115" s="753"/>
      <c r="CP115" s="753"/>
      <c r="CQ115" s="753"/>
      <c r="CR115" s="753"/>
      <c r="CS115" s="753"/>
      <c r="CT115" s="753"/>
      <c r="CU115" s="753"/>
      <c r="CV115" s="753"/>
      <c r="CW115" s="753"/>
      <c r="CX115" s="753"/>
      <c r="CY115" s="753"/>
      <c r="CZ115" s="753"/>
      <c r="DA115" s="753"/>
      <c r="DB115" s="753"/>
      <c r="DC115" s="753"/>
      <c r="DD115" s="753"/>
      <c r="DE115" s="753"/>
      <c r="DF115" s="753"/>
      <c r="DG115" s="753"/>
      <c r="DH115" s="776"/>
      <c r="DI115" s="758"/>
    </row>
    <row r="116" spans="1:113">
      <c r="A116" s="780"/>
      <c r="B116" s="780"/>
      <c r="C116" s="780"/>
      <c r="D116" s="780"/>
      <c r="E116" s="780"/>
      <c r="F116" s="780"/>
      <c r="G116" s="780"/>
      <c r="H116" s="788"/>
      <c r="I116" s="791"/>
      <c r="J116" s="33"/>
      <c r="K116" s="769"/>
      <c r="L116" s="758"/>
      <c r="M116" s="758"/>
      <c r="N116" s="758"/>
      <c r="O116" s="819"/>
      <c r="P116" s="775"/>
      <c r="Q116" s="758"/>
      <c r="R116" s="758"/>
      <c r="S116" s="758"/>
      <c r="T116" s="758"/>
      <c r="U116" s="758"/>
      <c r="V116" s="758"/>
      <c r="W116" s="758"/>
      <c r="X116" s="758"/>
      <c r="Y116" s="758"/>
      <c r="Z116" s="758"/>
      <c r="AA116" s="758"/>
      <c r="AB116" s="758"/>
      <c r="AC116" s="758"/>
      <c r="AD116" s="758"/>
      <c r="AE116" s="758"/>
      <c r="AF116" s="758"/>
      <c r="AG116" s="758"/>
      <c r="AH116" s="758"/>
      <c r="AI116" s="758"/>
      <c r="AJ116" s="758"/>
      <c r="AK116" s="758"/>
      <c r="AL116" s="758"/>
      <c r="AM116" s="758"/>
      <c r="AN116" s="758"/>
      <c r="AO116" s="758"/>
      <c r="CI116" s="753"/>
      <c r="CJ116" s="753"/>
      <c r="CK116" s="753"/>
      <c r="CL116" s="753"/>
      <c r="CM116" s="753"/>
      <c r="CN116" s="753"/>
      <c r="CO116" s="753"/>
      <c r="CP116" s="753"/>
      <c r="CQ116" s="753"/>
      <c r="CR116" s="753"/>
      <c r="CS116" s="753"/>
      <c r="CT116" s="753"/>
      <c r="CU116" s="753"/>
      <c r="CV116" s="753"/>
      <c r="CW116" s="753"/>
      <c r="CX116" s="753"/>
      <c r="CY116" s="753"/>
      <c r="CZ116" s="753"/>
      <c r="DA116" s="753"/>
      <c r="DB116" s="753"/>
      <c r="DC116" s="753"/>
      <c r="DD116" s="753"/>
      <c r="DE116" s="753"/>
      <c r="DF116" s="753"/>
      <c r="DG116" s="753"/>
      <c r="DH116" s="776"/>
      <c r="DI116" s="779"/>
    </row>
    <row r="117" spans="1:113">
      <c r="A117" s="792"/>
      <c r="B117" s="780"/>
      <c r="C117" s="780"/>
      <c r="D117" s="780"/>
      <c r="E117" s="780"/>
      <c r="F117" s="780"/>
      <c r="G117" s="780"/>
      <c r="H117" s="780"/>
      <c r="I117" s="780"/>
      <c r="J117" s="33"/>
      <c r="K117" s="769"/>
      <c r="L117" s="758"/>
      <c r="M117" s="758"/>
      <c r="N117" s="758"/>
      <c r="O117" s="819"/>
      <c r="P117" s="775"/>
      <c r="Q117" s="758"/>
      <c r="R117" s="758"/>
      <c r="S117" s="758"/>
      <c r="T117" s="758"/>
      <c r="U117" s="758"/>
      <c r="V117" s="758"/>
      <c r="W117" s="758"/>
      <c r="X117" s="758"/>
      <c r="Y117" s="758"/>
      <c r="Z117" s="758"/>
      <c r="AA117" s="758"/>
      <c r="AB117" s="758"/>
      <c r="AC117" s="758"/>
      <c r="AD117" s="758"/>
      <c r="AE117" s="758"/>
      <c r="AF117" s="758"/>
      <c r="AG117" s="758"/>
      <c r="AH117" s="758"/>
      <c r="AI117" s="758"/>
      <c r="AJ117" s="758"/>
      <c r="AK117" s="758"/>
      <c r="AL117" s="758"/>
      <c r="AM117" s="758"/>
      <c r="AN117" s="758"/>
      <c r="AO117" s="758"/>
      <c r="CI117" s="753"/>
      <c r="CJ117" s="753"/>
      <c r="CK117" s="753"/>
      <c r="CL117" s="753"/>
      <c r="CM117" s="753"/>
      <c r="CN117" s="753"/>
      <c r="CO117" s="753"/>
      <c r="CP117" s="753"/>
      <c r="CQ117" s="753"/>
      <c r="CR117" s="753"/>
      <c r="CS117" s="753"/>
      <c r="CT117" s="753"/>
      <c r="CU117" s="753"/>
      <c r="CV117" s="753"/>
      <c r="CW117" s="753"/>
      <c r="CX117" s="753"/>
      <c r="CY117" s="753"/>
      <c r="CZ117" s="753"/>
      <c r="DA117" s="753"/>
      <c r="DB117" s="753"/>
      <c r="DC117" s="753"/>
      <c r="DD117" s="753"/>
      <c r="DE117" s="753"/>
      <c r="DF117" s="753"/>
      <c r="DG117" s="753"/>
      <c r="DH117" s="776"/>
      <c r="DI117" s="758"/>
    </row>
    <row r="118" spans="1:113" ht="15.75">
      <c r="A118" s="794"/>
      <c r="B118" s="780"/>
      <c r="C118" s="780"/>
      <c r="D118" s="780"/>
      <c r="E118" s="780"/>
      <c r="F118" s="780"/>
      <c r="G118" s="780"/>
      <c r="H118" s="780"/>
      <c r="I118" s="780"/>
      <c r="J118" s="33"/>
      <c r="K118" s="769"/>
      <c r="L118" s="758"/>
      <c r="M118" s="758"/>
      <c r="N118" s="758"/>
      <c r="O118" s="819"/>
      <c r="P118" s="775"/>
      <c r="Q118" s="758"/>
      <c r="R118" s="758"/>
      <c r="S118" s="758"/>
      <c r="T118" s="758"/>
      <c r="U118" s="758"/>
      <c r="V118" s="758"/>
      <c r="W118" s="758"/>
      <c r="X118" s="758"/>
      <c r="Y118" s="758"/>
      <c r="Z118" s="758"/>
      <c r="AA118" s="758"/>
      <c r="AB118" s="758"/>
      <c r="AC118" s="758"/>
      <c r="AD118" s="758"/>
      <c r="AE118" s="758"/>
      <c r="AF118" s="758"/>
      <c r="AG118" s="758"/>
      <c r="AH118" s="758"/>
      <c r="AI118" s="758"/>
      <c r="AJ118" s="758"/>
      <c r="AK118" s="758"/>
      <c r="AL118" s="758"/>
      <c r="AM118" s="758"/>
      <c r="AN118" s="758"/>
      <c r="AO118" s="758"/>
      <c r="CI118" s="753"/>
      <c r="CJ118" s="753"/>
      <c r="CK118" s="753"/>
      <c r="CL118" s="753"/>
      <c r="CM118" s="753"/>
      <c r="CN118" s="753"/>
      <c r="CO118" s="753"/>
      <c r="CP118" s="753"/>
      <c r="CQ118" s="753"/>
      <c r="CR118" s="753"/>
      <c r="CS118" s="753"/>
      <c r="CT118" s="753"/>
      <c r="CU118" s="753"/>
      <c r="CV118" s="753"/>
      <c r="CW118" s="753"/>
      <c r="CX118" s="753"/>
      <c r="CY118" s="753"/>
      <c r="CZ118" s="753"/>
      <c r="DA118" s="753"/>
      <c r="DB118" s="753"/>
      <c r="DC118" s="753"/>
      <c r="DD118" s="753"/>
      <c r="DE118" s="753"/>
      <c r="DF118" s="753"/>
      <c r="DG118" s="753"/>
      <c r="DH118" s="776"/>
      <c r="DI118" s="758"/>
    </row>
    <row r="119" spans="1:113" ht="15.75">
      <c r="A119" s="794"/>
      <c r="B119" s="780"/>
      <c r="C119" s="780"/>
      <c r="D119" s="780"/>
      <c r="E119" s="780"/>
      <c r="F119" s="780"/>
      <c r="G119" s="780"/>
      <c r="H119" s="780"/>
      <c r="I119" s="780"/>
      <c r="J119" s="33"/>
      <c r="K119" s="769"/>
      <c r="L119" s="758"/>
      <c r="M119" s="758"/>
      <c r="N119" s="758"/>
      <c r="O119" s="781"/>
      <c r="P119" s="775"/>
      <c r="Q119" s="758"/>
      <c r="R119" s="758"/>
      <c r="S119" s="758"/>
      <c r="T119" s="758"/>
      <c r="U119" s="758"/>
      <c r="V119" s="758"/>
      <c r="W119" s="758"/>
      <c r="X119" s="758"/>
      <c r="Y119" s="758"/>
      <c r="Z119" s="758"/>
      <c r="AA119" s="758"/>
      <c r="AB119" s="758"/>
      <c r="AC119" s="758"/>
      <c r="AD119" s="758"/>
      <c r="AE119" s="758"/>
      <c r="AF119" s="758"/>
      <c r="AG119" s="758"/>
      <c r="AH119" s="758"/>
      <c r="AI119" s="758"/>
      <c r="AJ119" s="758"/>
      <c r="AK119" s="758"/>
      <c r="AL119" s="758"/>
      <c r="AM119" s="758"/>
      <c r="AN119" s="758"/>
      <c r="AO119" s="758"/>
      <c r="CI119" s="753"/>
      <c r="CJ119" s="753"/>
      <c r="CK119" s="753"/>
      <c r="CL119" s="753"/>
      <c r="CM119" s="753"/>
      <c r="CN119" s="753"/>
      <c r="CO119" s="753"/>
      <c r="CP119" s="753"/>
      <c r="CQ119" s="753"/>
      <c r="CR119" s="753"/>
      <c r="CS119" s="753"/>
      <c r="CT119" s="753"/>
      <c r="CU119" s="753"/>
      <c r="CV119" s="753"/>
      <c r="CW119" s="753"/>
      <c r="CX119" s="753"/>
      <c r="CY119" s="753"/>
      <c r="CZ119" s="753"/>
      <c r="DA119" s="753"/>
      <c r="DB119" s="753"/>
      <c r="DC119" s="753"/>
      <c r="DD119" s="753"/>
      <c r="DE119" s="753"/>
      <c r="DF119" s="753"/>
      <c r="DG119" s="753"/>
      <c r="DH119" s="776"/>
      <c r="DI119" s="758"/>
    </row>
    <row r="120" spans="1:113" ht="16.5">
      <c r="A120" s="780"/>
      <c r="B120" s="780"/>
      <c r="C120" s="780"/>
      <c r="D120" s="780"/>
      <c r="E120" s="780"/>
      <c r="F120" s="780"/>
      <c r="G120" s="780"/>
      <c r="H120" s="795"/>
      <c r="I120" s="788"/>
      <c r="J120" s="33"/>
      <c r="K120" s="769"/>
      <c r="L120" s="758"/>
      <c r="M120" s="758"/>
      <c r="N120" s="758"/>
      <c r="O120" s="781"/>
      <c r="P120" s="775"/>
      <c r="Q120" s="758"/>
      <c r="R120" s="758"/>
      <c r="S120" s="758"/>
      <c r="T120" s="758"/>
      <c r="U120" s="758"/>
      <c r="V120" s="758"/>
      <c r="W120" s="758"/>
      <c r="X120" s="758"/>
      <c r="Y120" s="758"/>
      <c r="Z120" s="758"/>
      <c r="AA120" s="758"/>
      <c r="AB120" s="758"/>
      <c r="AC120" s="758"/>
      <c r="AD120" s="758"/>
      <c r="AE120" s="758"/>
      <c r="AF120" s="758"/>
      <c r="AG120" s="758"/>
      <c r="AH120" s="758"/>
      <c r="AI120" s="758"/>
      <c r="AJ120" s="758"/>
      <c r="AK120" s="758"/>
      <c r="AL120" s="758"/>
      <c r="AM120" s="758"/>
      <c r="AN120" s="758"/>
      <c r="AO120" s="758"/>
      <c r="CI120" s="753"/>
      <c r="CJ120" s="753"/>
      <c r="CK120" s="753"/>
      <c r="CL120" s="753"/>
      <c r="CM120" s="753"/>
      <c r="CN120" s="753"/>
      <c r="CO120" s="753"/>
      <c r="CP120" s="753"/>
      <c r="CQ120" s="753"/>
      <c r="CR120" s="753"/>
      <c r="CS120" s="753"/>
      <c r="CT120" s="753"/>
      <c r="CU120" s="753"/>
      <c r="CV120" s="753"/>
      <c r="CW120" s="753"/>
      <c r="CX120" s="753"/>
      <c r="CY120" s="753"/>
      <c r="CZ120" s="753"/>
      <c r="DA120" s="753"/>
      <c r="DB120" s="753"/>
      <c r="DC120" s="753"/>
      <c r="DD120" s="753"/>
      <c r="DE120" s="753"/>
      <c r="DF120" s="753"/>
      <c r="DG120" s="753"/>
      <c r="DH120" s="776"/>
      <c r="DI120" s="758"/>
    </row>
    <row r="121" spans="1:113">
      <c r="A121" s="796"/>
      <c r="B121" s="780"/>
      <c r="C121" s="780"/>
      <c r="D121" s="780"/>
      <c r="E121" s="780"/>
      <c r="F121" s="780"/>
      <c r="G121" s="780"/>
      <c r="H121" s="797"/>
      <c r="I121" s="787"/>
      <c r="J121" s="33"/>
      <c r="K121" s="769"/>
      <c r="L121" s="758"/>
      <c r="M121" s="758"/>
      <c r="N121" s="758"/>
      <c r="O121" s="781"/>
      <c r="P121" s="753"/>
      <c r="Q121" s="758"/>
      <c r="R121" s="758"/>
      <c r="S121" s="758"/>
      <c r="T121" s="758"/>
      <c r="U121" s="758"/>
      <c r="V121" s="758"/>
      <c r="W121" s="758"/>
      <c r="X121" s="758"/>
      <c r="Y121" s="758"/>
      <c r="Z121" s="758"/>
      <c r="AA121" s="758"/>
      <c r="AB121" s="758"/>
      <c r="AC121" s="758"/>
      <c r="AD121" s="758"/>
      <c r="AE121" s="758"/>
      <c r="AF121" s="758"/>
      <c r="AG121" s="758"/>
      <c r="AH121" s="758"/>
      <c r="AI121" s="758"/>
      <c r="AJ121" s="758"/>
      <c r="AK121" s="758"/>
      <c r="AL121" s="758"/>
      <c r="AM121" s="758"/>
      <c r="AN121" s="758"/>
      <c r="AO121" s="758"/>
      <c r="CI121" s="753"/>
      <c r="CJ121" s="753"/>
      <c r="CK121" s="753"/>
      <c r="CL121" s="753"/>
      <c r="CM121" s="753"/>
      <c r="CN121" s="753"/>
      <c r="CO121" s="753"/>
      <c r="CP121" s="753"/>
      <c r="CQ121" s="753"/>
      <c r="CR121" s="753"/>
      <c r="CS121" s="753"/>
      <c r="CT121" s="753"/>
      <c r="CU121" s="753"/>
      <c r="CV121" s="753"/>
      <c r="CW121" s="753"/>
      <c r="CX121" s="753"/>
      <c r="CY121" s="753"/>
      <c r="CZ121" s="753"/>
      <c r="DA121" s="753"/>
      <c r="DB121" s="753"/>
      <c r="DC121" s="753"/>
      <c r="DD121" s="753"/>
      <c r="DE121" s="753"/>
      <c r="DF121" s="753"/>
      <c r="DG121" s="753"/>
      <c r="DH121" s="776"/>
      <c r="DI121" s="758"/>
    </row>
    <row r="122" spans="1:113">
      <c r="A122" s="798"/>
      <c r="B122" s="799"/>
      <c r="C122" s="780"/>
      <c r="D122" s="780"/>
      <c r="E122" s="780"/>
      <c r="F122" s="780"/>
      <c r="G122" s="780"/>
      <c r="H122" s="797"/>
      <c r="I122" s="787"/>
      <c r="J122" s="33"/>
      <c r="K122" s="769"/>
      <c r="L122" s="758"/>
      <c r="M122" s="758"/>
      <c r="N122" s="758"/>
      <c r="O122" s="781"/>
      <c r="P122" s="775"/>
      <c r="Q122" s="758"/>
      <c r="R122" s="758"/>
      <c r="S122" s="758"/>
      <c r="T122" s="758"/>
      <c r="U122" s="758"/>
      <c r="V122" s="758"/>
      <c r="W122" s="758"/>
      <c r="X122" s="758"/>
      <c r="Y122" s="758"/>
      <c r="Z122" s="758"/>
      <c r="AA122" s="758"/>
      <c r="AB122" s="758"/>
      <c r="AC122" s="758"/>
      <c r="AD122" s="758"/>
      <c r="AE122" s="758"/>
      <c r="AF122" s="758"/>
      <c r="AG122" s="758"/>
      <c r="AH122" s="758"/>
      <c r="AI122" s="758"/>
      <c r="AJ122" s="758"/>
      <c r="AK122" s="758"/>
      <c r="AL122" s="758"/>
      <c r="AM122" s="758"/>
      <c r="AN122" s="758"/>
      <c r="AO122" s="758"/>
      <c r="CI122" s="753"/>
      <c r="CJ122" s="753"/>
      <c r="CK122" s="753"/>
      <c r="CL122" s="753"/>
      <c r="CM122" s="753"/>
      <c r="CN122" s="753"/>
      <c r="CO122" s="753"/>
      <c r="CP122" s="753"/>
      <c r="CQ122" s="753"/>
      <c r="CR122" s="753"/>
      <c r="CS122" s="753"/>
      <c r="CT122" s="753"/>
      <c r="CU122" s="753"/>
      <c r="CV122" s="753"/>
      <c r="CW122" s="753"/>
      <c r="CX122" s="753"/>
      <c r="CY122" s="753"/>
      <c r="CZ122" s="753"/>
      <c r="DA122" s="753"/>
      <c r="DB122" s="753"/>
      <c r="DC122" s="753"/>
      <c r="DD122" s="753"/>
      <c r="DE122" s="753"/>
      <c r="DF122" s="753"/>
      <c r="DG122" s="753"/>
      <c r="DH122" s="776"/>
      <c r="DI122" s="758"/>
    </row>
    <row r="123" spans="1:113" ht="16.5">
      <c r="A123" s="794"/>
      <c r="B123" s="799"/>
      <c r="C123" s="795"/>
      <c r="D123" s="780"/>
      <c r="E123" s="780"/>
      <c r="F123" s="780"/>
      <c r="G123" s="780"/>
      <c r="H123" s="780"/>
      <c r="I123" s="764"/>
      <c r="J123" s="33"/>
      <c r="K123" s="769"/>
      <c r="L123" s="758"/>
      <c r="M123" s="758"/>
      <c r="N123" s="758"/>
      <c r="O123" s="781"/>
      <c r="P123" s="775"/>
      <c r="Q123" s="758"/>
      <c r="R123" s="758"/>
      <c r="S123" s="758"/>
      <c r="T123" s="758"/>
      <c r="U123" s="758"/>
      <c r="V123" s="758"/>
      <c r="W123" s="758"/>
      <c r="X123" s="758"/>
      <c r="Y123" s="758"/>
      <c r="Z123" s="758"/>
      <c r="AA123" s="758"/>
      <c r="AB123" s="758"/>
      <c r="AC123" s="758"/>
      <c r="AD123" s="758"/>
      <c r="AE123" s="758"/>
      <c r="AF123" s="758"/>
      <c r="AG123" s="758"/>
      <c r="AH123" s="758"/>
      <c r="AI123" s="758"/>
      <c r="AJ123" s="758"/>
      <c r="AK123" s="758"/>
      <c r="AL123" s="758"/>
      <c r="AM123" s="758"/>
      <c r="AN123" s="758"/>
      <c r="AO123" s="758"/>
      <c r="CI123" s="753"/>
      <c r="CJ123" s="753"/>
      <c r="CK123" s="753"/>
      <c r="CL123" s="753"/>
      <c r="CM123" s="753"/>
      <c r="CN123" s="753"/>
      <c r="CO123" s="753"/>
      <c r="CP123" s="753"/>
      <c r="CQ123" s="753"/>
      <c r="CR123" s="753"/>
      <c r="CS123" s="753"/>
      <c r="CT123" s="753"/>
      <c r="CU123" s="753"/>
      <c r="CV123" s="753"/>
      <c r="CW123" s="753"/>
      <c r="CX123" s="753"/>
      <c r="CY123" s="753"/>
      <c r="CZ123" s="753"/>
      <c r="DA123" s="753"/>
      <c r="DB123" s="753"/>
      <c r="DC123" s="753"/>
      <c r="DD123" s="753"/>
      <c r="DE123" s="753"/>
      <c r="DF123" s="753"/>
      <c r="DG123" s="753"/>
      <c r="DH123" s="776"/>
      <c r="DI123" s="758"/>
    </row>
    <row r="124" spans="1:113">
      <c r="A124" s="798"/>
      <c r="B124" s="799"/>
      <c r="C124" s="780"/>
      <c r="D124" s="780"/>
      <c r="E124" s="780"/>
      <c r="F124" s="780"/>
      <c r="G124" s="780"/>
      <c r="H124" s="773"/>
      <c r="I124" s="764"/>
      <c r="J124" s="33"/>
      <c r="K124" s="769"/>
      <c r="L124" s="758"/>
      <c r="M124" s="758"/>
      <c r="N124" s="758"/>
      <c r="O124" s="781"/>
      <c r="P124" s="775"/>
      <c r="Q124" s="758"/>
      <c r="R124" s="758"/>
      <c r="S124" s="758"/>
      <c r="T124" s="758"/>
      <c r="U124" s="758"/>
      <c r="V124" s="758"/>
      <c r="W124" s="758"/>
      <c r="X124" s="758"/>
      <c r="Y124" s="758"/>
      <c r="Z124" s="758"/>
      <c r="AA124" s="758"/>
      <c r="AB124" s="758"/>
      <c r="AC124" s="758"/>
      <c r="AD124" s="758"/>
      <c r="AE124" s="758"/>
      <c r="AF124" s="758"/>
      <c r="AG124" s="758"/>
      <c r="AH124" s="758"/>
      <c r="AI124" s="758"/>
      <c r="AJ124" s="758"/>
      <c r="AK124" s="758"/>
      <c r="AL124" s="758"/>
      <c r="AM124" s="758"/>
      <c r="AN124" s="758"/>
      <c r="AO124" s="758"/>
      <c r="CI124" s="753"/>
      <c r="CJ124" s="753"/>
      <c r="CK124" s="753"/>
      <c r="CL124" s="753"/>
      <c r="CM124" s="753"/>
      <c r="CN124" s="753"/>
      <c r="CO124" s="753"/>
      <c r="CP124" s="753"/>
      <c r="CQ124" s="753"/>
      <c r="CR124" s="753"/>
      <c r="CS124" s="753"/>
      <c r="CT124" s="753"/>
      <c r="CU124" s="753"/>
      <c r="CV124" s="753"/>
      <c r="CW124" s="753"/>
      <c r="CX124" s="753"/>
      <c r="CY124" s="753"/>
      <c r="CZ124" s="753"/>
      <c r="DA124" s="753"/>
      <c r="DB124" s="753"/>
      <c r="DC124" s="753"/>
      <c r="DD124" s="753"/>
      <c r="DE124" s="753"/>
      <c r="DF124" s="753"/>
      <c r="DG124" s="753"/>
      <c r="DH124" s="776"/>
      <c r="DI124" s="758"/>
    </row>
    <row r="125" spans="1:113">
      <c r="A125" s="798"/>
      <c r="B125" s="799"/>
      <c r="C125" s="780"/>
      <c r="D125" s="780"/>
      <c r="E125" s="780"/>
      <c r="F125" s="780"/>
      <c r="G125" s="780"/>
      <c r="H125" s="773"/>
      <c r="I125" s="764"/>
      <c r="J125" s="33"/>
      <c r="K125" s="769"/>
      <c r="L125" s="758"/>
      <c r="M125" s="758"/>
      <c r="N125" s="758"/>
      <c r="O125" s="781"/>
      <c r="P125" s="775"/>
      <c r="Q125" s="758"/>
      <c r="R125" s="758"/>
      <c r="S125" s="758"/>
      <c r="T125" s="758"/>
      <c r="U125" s="758"/>
      <c r="V125" s="758"/>
      <c r="W125" s="758"/>
      <c r="X125" s="758"/>
      <c r="Y125" s="758"/>
      <c r="Z125" s="758"/>
      <c r="AA125" s="758"/>
      <c r="AB125" s="758"/>
      <c r="AC125" s="758"/>
      <c r="AD125" s="758"/>
      <c r="AE125" s="758"/>
      <c r="AF125" s="758"/>
      <c r="AG125" s="758"/>
      <c r="AH125" s="758"/>
      <c r="AI125" s="758"/>
      <c r="AJ125" s="758"/>
      <c r="AK125" s="758"/>
      <c r="AL125" s="758"/>
      <c r="AM125" s="758"/>
      <c r="AN125" s="758"/>
      <c r="AO125" s="758"/>
      <c r="CI125" s="753"/>
      <c r="CJ125" s="753"/>
      <c r="CK125" s="753"/>
      <c r="CL125" s="753"/>
      <c r="CM125" s="753"/>
      <c r="CN125" s="753"/>
      <c r="CO125" s="753"/>
      <c r="CP125" s="753"/>
      <c r="CQ125" s="753"/>
      <c r="CR125" s="753"/>
      <c r="CS125" s="753"/>
      <c r="CT125" s="753"/>
      <c r="CU125" s="753"/>
      <c r="CV125" s="753"/>
      <c r="CW125" s="753"/>
      <c r="CX125" s="753"/>
      <c r="CY125" s="753"/>
      <c r="CZ125" s="753"/>
      <c r="DA125" s="753"/>
      <c r="DB125" s="753"/>
      <c r="DC125" s="753"/>
      <c r="DD125" s="753"/>
      <c r="DE125" s="753"/>
      <c r="DF125" s="753"/>
      <c r="DG125" s="753"/>
      <c r="DH125" s="776"/>
      <c r="DI125" s="758"/>
    </row>
    <row r="126" spans="1:113" ht="15.75">
      <c r="A126" s="794"/>
      <c r="B126" s="800"/>
      <c r="C126" s="780"/>
      <c r="D126" s="780"/>
      <c r="E126" s="780"/>
      <c r="F126" s="780"/>
      <c r="G126" s="780"/>
      <c r="H126" s="773"/>
      <c r="I126" s="764"/>
      <c r="J126" s="33"/>
      <c r="K126" s="753"/>
      <c r="L126" s="758"/>
      <c r="M126" s="758"/>
      <c r="N126" s="758"/>
      <c r="O126" s="781"/>
      <c r="P126" s="783"/>
      <c r="Q126" s="758"/>
      <c r="R126" s="758"/>
      <c r="S126" s="758"/>
      <c r="T126" s="758"/>
      <c r="U126" s="758"/>
      <c r="V126" s="758"/>
      <c r="W126" s="758"/>
      <c r="X126" s="758"/>
      <c r="Y126" s="758"/>
      <c r="Z126" s="758"/>
      <c r="AA126" s="758"/>
      <c r="AB126" s="758"/>
      <c r="AC126" s="758"/>
      <c r="AD126" s="758"/>
      <c r="AE126" s="758"/>
      <c r="AF126" s="758"/>
      <c r="AG126" s="758"/>
      <c r="AH126" s="758"/>
      <c r="AI126" s="758"/>
      <c r="AJ126" s="758"/>
      <c r="AK126" s="758"/>
      <c r="AL126" s="758"/>
      <c r="AM126" s="758"/>
      <c r="AN126" s="758"/>
      <c r="AO126" s="758"/>
      <c r="CI126" s="753"/>
      <c r="CJ126" s="753"/>
      <c r="CK126" s="753"/>
      <c r="CL126" s="753"/>
      <c r="CM126" s="753"/>
      <c r="CN126" s="753"/>
      <c r="CO126" s="753"/>
      <c r="CP126" s="753"/>
      <c r="CQ126" s="753"/>
      <c r="CR126" s="753"/>
      <c r="CS126" s="753"/>
      <c r="CT126" s="753"/>
      <c r="CU126" s="753"/>
      <c r="CV126" s="753"/>
      <c r="CW126" s="753"/>
      <c r="CX126" s="753"/>
      <c r="CY126" s="753"/>
      <c r="CZ126" s="753"/>
      <c r="DA126" s="753"/>
      <c r="DB126" s="753"/>
      <c r="DC126" s="753"/>
      <c r="DD126" s="753"/>
      <c r="DE126" s="753"/>
      <c r="DF126" s="753"/>
      <c r="DG126" s="753"/>
      <c r="DH126" s="776"/>
      <c r="DI126" s="758"/>
    </row>
    <row r="127" spans="1:113" ht="15.75">
      <c r="A127" s="794"/>
      <c r="B127" s="800"/>
      <c r="C127" s="780"/>
      <c r="D127" s="780"/>
      <c r="E127" s="780"/>
      <c r="F127" s="780"/>
      <c r="G127" s="780"/>
      <c r="H127" s="773"/>
      <c r="I127" s="764"/>
      <c r="J127" s="33"/>
      <c r="K127" s="753"/>
      <c r="L127" s="758"/>
      <c r="M127" s="758"/>
      <c r="N127" s="758"/>
      <c r="O127" s="781"/>
      <c r="P127" s="783"/>
      <c r="Q127" s="758"/>
      <c r="R127" s="758"/>
      <c r="S127" s="758"/>
      <c r="T127" s="758"/>
      <c r="U127" s="758"/>
      <c r="V127" s="758"/>
      <c r="W127" s="758"/>
      <c r="X127" s="758"/>
      <c r="Y127" s="758"/>
      <c r="Z127" s="758"/>
      <c r="AA127" s="758"/>
      <c r="AB127" s="758"/>
      <c r="AC127" s="758"/>
      <c r="AD127" s="758"/>
      <c r="AE127" s="758"/>
      <c r="AF127" s="758"/>
      <c r="AG127" s="758"/>
      <c r="AH127" s="758"/>
      <c r="AI127" s="758"/>
      <c r="AJ127" s="758"/>
      <c r="AK127" s="758"/>
      <c r="AL127" s="758"/>
      <c r="AM127" s="758"/>
      <c r="AN127" s="758"/>
      <c r="AO127" s="758"/>
      <c r="CI127" s="753"/>
      <c r="CJ127" s="753"/>
      <c r="CK127" s="753"/>
      <c r="CL127" s="753"/>
      <c r="CM127" s="753"/>
      <c r="CN127" s="753"/>
      <c r="CO127" s="753"/>
      <c r="CP127" s="753"/>
      <c r="CQ127" s="753"/>
      <c r="CR127" s="753"/>
      <c r="CS127" s="753"/>
      <c r="CT127" s="753"/>
      <c r="CU127" s="753"/>
      <c r="CV127" s="753"/>
      <c r="CW127" s="753"/>
      <c r="CX127" s="753"/>
      <c r="CY127" s="753"/>
      <c r="CZ127" s="753"/>
      <c r="DA127" s="753"/>
      <c r="DB127" s="753"/>
      <c r="DC127" s="753"/>
      <c r="DD127" s="753"/>
      <c r="DE127" s="753"/>
      <c r="DF127" s="753"/>
      <c r="DG127" s="753"/>
      <c r="DH127" s="776"/>
      <c r="DI127" s="758"/>
    </row>
    <row r="128" spans="1:113">
      <c r="A128" s="780"/>
      <c r="B128" s="780"/>
      <c r="C128" s="780"/>
      <c r="D128" s="780"/>
      <c r="E128" s="780"/>
      <c r="F128" s="780"/>
      <c r="G128" s="780"/>
      <c r="H128" s="780"/>
      <c r="I128" s="788"/>
      <c r="J128" s="33"/>
      <c r="K128" s="753"/>
      <c r="L128" s="758"/>
      <c r="M128" s="758"/>
      <c r="N128" s="758"/>
      <c r="O128" s="819"/>
      <c r="P128" s="775"/>
      <c r="Q128" s="758"/>
      <c r="R128" s="758"/>
      <c r="S128" s="758"/>
      <c r="T128" s="758"/>
      <c r="U128" s="758"/>
      <c r="V128" s="758"/>
      <c r="W128" s="758"/>
      <c r="X128" s="758"/>
      <c r="Y128" s="758"/>
      <c r="Z128" s="758"/>
      <c r="AA128" s="758"/>
      <c r="AB128" s="758"/>
      <c r="AC128" s="758"/>
      <c r="AD128" s="758"/>
      <c r="AE128" s="758"/>
      <c r="AF128" s="758"/>
      <c r="AG128" s="758"/>
      <c r="AH128" s="758"/>
      <c r="AI128" s="758"/>
      <c r="AJ128" s="758"/>
      <c r="AK128" s="758"/>
      <c r="AL128" s="758"/>
      <c r="AM128" s="758"/>
      <c r="AN128" s="758"/>
      <c r="AO128" s="758"/>
      <c r="CI128" s="753"/>
      <c r="CJ128" s="753"/>
      <c r="CK128" s="753"/>
      <c r="CL128" s="753"/>
      <c r="CM128" s="753"/>
      <c r="CN128" s="753"/>
      <c r="CO128" s="753"/>
      <c r="CP128" s="753"/>
      <c r="CQ128" s="753"/>
      <c r="CR128" s="753"/>
      <c r="CS128" s="753"/>
      <c r="CT128" s="753"/>
      <c r="CU128" s="753"/>
      <c r="CV128" s="753"/>
      <c r="CW128" s="753"/>
      <c r="CX128" s="753"/>
      <c r="CY128" s="753"/>
      <c r="CZ128" s="753"/>
      <c r="DA128" s="753"/>
      <c r="DB128" s="753"/>
      <c r="DC128" s="753"/>
      <c r="DD128" s="753"/>
      <c r="DE128" s="753"/>
      <c r="DF128" s="753"/>
      <c r="DG128" s="753"/>
      <c r="DH128" s="776"/>
      <c r="DI128" s="758"/>
    </row>
    <row r="129" spans="1:113">
      <c r="A129" s="780"/>
      <c r="B129" s="780"/>
      <c r="C129" s="780"/>
      <c r="D129" s="780"/>
      <c r="E129" s="780"/>
      <c r="F129" s="780"/>
      <c r="G129" s="780"/>
      <c r="H129" s="797"/>
      <c r="I129" s="787"/>
      <c r="J129" s="33"/>
      <c r="K129" s="753"/>
      <c r="L129" s="758"/>
      <c r="M129" s="758"/>
      <c r="N129" s="758"/>
      <c r="O129" s="778"/>
      <c r="P129" s="775"/>
      <c r="Q129" s="758"/>
      <c r="R129" s="758"/>
      <c r="S129" s="758"/>
      <c r="T129" s="758"/>
      <c r="U129" s="758"/>
      <c r="V129" s="758"/>
      <c r="W129" s="758"/>
      <c r="X129" s="758"/>
      <c r="Y129" s="758"/>
      <c r="Z129" s="758"/>
      <c r="AA129" s="758"/>
      <c r="AB129" s="758"/>
      <c r="AC129" s="758"/>
      <c r="AD129" s="758"/>
      <c r="AE129" s="758"/>
      <c r="AF129" s="758"/>
      <c r="AG129" s="758"/>
      <c r="AH129" s="758"/>
      <c r="AI129" s="758"/>
      <c r="AJ129" s="758"/>
      <c r="AK129" s="758"/>
      <c r="AL129" s="758"/>
      <c r="AM129" s="758"/>
      <c r="AN129" s="758"/>
      <c r="AO129" s="758"/>
      <c r="CI129" s="753"/>
      <c r="CJ129" s="753"/>
      <c r="CK129" s="753"/>
      <c r="CL129" s="753"/>
      <c r="CM129" s="753"/>
      <c r="CN129" s="753"/>
      <c r="CO129" s="753"/>
      <c r="CP129" s="753"/>
      <c r="CQ129" s="753"/>
      <c r="CR129" s="753"/>
      <c r="CS129" s="753"/>
      <c r="CT129" s="753"/>
      <c r="CU129" s="753"/>
      <c r="CV129" s="753"/>
      <c r="CW129" s="753"/>
      <c r="CX129" s="753"/>
      <c r="CY129" s="753"/>
      <c r="CZ129" s="753"/>
      <c r="DA129" s="753"/>
      <c r="DB129" s="753"/>
      <c r="DC129" s="753"/>
      <c r="DD129" s="753"/>
      <c r="DE129" s="753"/>
      <c r="DF129" s="753"/>
      <c r="DG129" s="753"/>
      <c r="DH129" s="776"/>
      <c r="DI129" s="758"/>
    </row>
    <row r="130" spans="1:113">
      <c r="A130" s="796"/>
      <c r="B130" s="780"/>
      <c r="C130" s="780"/>
      <c r="D130" s="780"/>
      <c r="E130" s="780"/>
      <c r="F130" s="780"/>
      <c r="G130" s="780"/>
      <c r="H130" s="797"/>
      <c r="I130" s="787"/>
      <c r="J130" s="33"/>
      <c r="K130" s="753"/>
      <c r="L130" s="758"/>
      <c r="M130" s="758"/>
      <c r="N130" s="758"/>
      <c r="O130" s="778"/>
      <c r="P130" s="775"/>
      <c r="Q130" s="758"/>
      <c r="R130" s="758"/>
      <c r="S130" s="758"/>
      <c r="T130" s="758"/>
      <c r="U130" s="758"/>
      <c r="V130" s="758"/>
      <c r="W130" s="758"/>
      <c r="X130" s="758"/>
      <c r="Y130" s="758"/>
      <c r="Z130" s="758"/>
      <c r="AA130" s="758"/>
      <c r="AB130" s="758"/>
      <c r="AC130" s="758"/>
      <c r="AD130" s="758"/>
      <c r="AE130" s="758"/>
      <c r="AF130" s="758"/>
      <c r="AG130" s="758"/>
      <c r="AH130" s="758"/>
      <c r="AI130" s="758"/>
      <c r="AJ130" s="758"/>
      <c r="AK130" s="758"/>
      <c r="AL130" s="758"/>
      <c r="AM130" s="758"/>
      <c r="AN130" s="758"/>
      <c r="AO130" s="758"/>
      <c r="CI130" s="753"/>
      <c r="CJ130" s="753"/>
      <c r="CK130" s="753"/>
      <c r="CL130" s="753"/>
      <c r="CM130" s="753"/>
      <c r="CN130" s="753"/>
      <c r="CO130" s="753"/>
      <c r="CP130" s="753"/>
      <c r="CQ130" s="753"/>
      <c r="CR130" s="753"/>
      <c r="CS130" s="753"/>
      <c r="CT130" s="753"/>
      <c r="CU130" s="753"/>
      <c r="CV130" s="753"/>
      <c r="CW130" s="753"/>
      <c r="CX130" s="753"/>
      <c r="CY130" s="753"/>
      <c r="CZ130" s="753"/>
      <c r="DA130" s="753"/>
      <c r="DB130" s="753"/>
      <c r="DC130" s="753"/>
      <c r="DD130" s="753"/>
      <c r="DE130" s="753"/>
      <c r="DF130" s="753"/>
      <c r="DG130" s="753"/>
      <c r="DH130" s="776"/>
      <c r="DI130" s="758"/>
    </row>
    <row r="131" spans="1:113">
      <c r="A131" s="798"/>
      <c r="B131" s="799"/>
      <c r="C131" s="780"/>
      <c r="D131" s="780"/>
      <c r="E131" s="780"/>
      <c r="F131" s="780"/>
      <c r="G131" s="773"/>
      <c r="H131" s="801"/>
      <c r="I131" s="764"/>
      <c r="J131" s="33"/>
      <c r="K131" s="753"/>
      <c r="L131" s="758"/>
      <c r="M131" s="758"/>
      <c r="N131" s="758"/>
      <c r="O131" s="753"/>
      <c r="P131" s="775"/>
      <c r="Q131" s="758"/>
      <c r="R131" s="758"/>
      <c r="S131" s="758"/>
      <c r="T131" s="758"/>
      <c r="U131" s="758"/>
      <c r="V131" s="758"/>
      <c r="W131" s="758"/>
      <c r="X131" s="758"/>
      <c r="Y131" s="758"/>
      <c r="Z131" s="758"/>
      <c r="AA131" s="758"/>
      <c r="AB131" s="758"/>
      <c r="AC131" s="758"/>
      <c r="AD131" s="758"/>
      <c r="AE131" s="758"/>
      <c r="AF131" s="758"/>
      <c r="AG131" s="758"/>
      <c r="AH131" s="758"/>
      <c r="AI131" s="758"/>
      <c r="AJ131" s="758"/>
      <c r="AK131" s="758"/>
      <c r="AL131" s="758"/>
      <c r="AM131" s="758"/>
      <c r="AN131" s="758"/>
      <c r="AO131" s="758"/>
      <c r="CI131" s="753"/>
      <c r="CJ131" s="753"/>
      <c r="CK131" s="753"/>
      <c r="CL131" s="753"/>
      <c r="CM131" s="753"/>
      <c r="CN131" s="753"/>
      <c r="CO131" s="753"/>
      <c r="CP131" s="753"/>
      <c r="CQ131" s="753"/>
      <c r="CR131" s="753"/>
      <c r="CS131" s="753"/>
      <c r="CT131" s="753"/>
      <c r="CU131" s="753"/>
      <c r="CV131" s="753"/>
      <c r="CW131" s="753"/>
      <c r="CX131" s="753"/>
      <c r="CY131" s="753"/>
      <c r="CZ131" s="753"/>
      <c r="DA131" s="753"/>
      <c r="DB131" s="753"/>
      <c r="DC131" s="753"/>
      <c r="DD131" s="753"/>
      <c r="DE131" s="753"/>
      <c r="DF131" s="753"/>
      <c r="DG131" s="753"/>
      <c r="DH131" s="776"/>
      <c r="DI131" s="758"/>
    </row>
    <row r="132" spans="1:113" ht="16.5">
      <c r="A132" s="794"/>
      <c r="B132" s="799"/>
      <c r="C132" s="795"/>
      <c r="D132" s="780"/>
      <c r="E132" s="780"/>
      <c r="F132" s="773"/>
      <c r="G132" s="780"/>
      <c r="H132" s="780"/>
      <c r="I132" s="788"/>
      <c r="J132" s="33"/>
      <c r="K132" s="753"/>
      <c r="L132" s="758"/>
      <c r="M132" s="758"/>
      <c r="N132" s="758"/>
      <c r="O132" s="770"/>
      <c r="P132" s="775"/>
      <c r="Q132" s="758"/>
      <c r="R132" s="758"/>
      <c r="S132" s="758"/>
      <c r="T132" s="758"/>
      <c r="U132" s="758"/>
      <c r="V132" s="758"/>
      <c r="W132" s="758"/>
      <c r="X132" s="758"/>
      <c r="Y132" s="758"/>
      <c r="Z132" s="758"/>
      <c r="AA132" s="758"/>
      <c r="AB132" s="758"/>
      <c r="AC132" s="758"/>
      <c r="AD132" s="758"/>
      <c r="AE132" s="758"/>
      <c r="AF132" s="758"/>
      <c r="AG132" s="758"/>
      <c r="AH132" s="758"/>
      <c r="AI132" s="758"/>
      <c r="AJ132" s="758"/>
      <c r="AK132" s="758"/>
      <c r="AL132" s="758"/>
      <c r="AM132" s="758"/>
      <c r="AN132" s="758"/>
      <c r="AO132" s="758"/>
      <c r="CI132" s="753"/>
      <c r="CJ132" s="753"/>
      <c r="CK132" s="753"/>
      <c r="CL132" s="753"/>
      <c r="CM132" s="753"/>
      <c r="CN132" s="753"/>
      <c r="CO132" s="753"/>
      <c r="CP132" s="753"/>
      <c r="CQ132" s="753"/>
      <c r="CR132" s="753"/>
      <c r="CS132" s="753"/>
      <c r="CT132" s="753"/>
      <c r="CU132" s="753"/>
      <c r="CV132" s="753"/>
      <c r="CW132" s="753"/>
      <c r="CX132" s="753"/>
      <c r="CY132" s="753"/>
      <c r="CZ132" s="753"/>
      <c r="DA132" s="753"/>
      <c r="DB132" s="753"/>
      <c r="DC132" s="753"/>
      <c r="DD132" s="753"/>
      <c r="DE132" s="753"/>
      <c r="DF132" s="753"/>
      <c r="DG132" s="753"/>
      <c r="DH132" s="776"/>
      <c r="DI132" s="758"/>
    </row>
    <row r="133" spans="1:113">
      <c r="A133" s="798"/>
      <c r="B133" s="799"/>
      <c r="C133" s="780"/>
      <c r="D133" s="780"/>
      <c r="E133" s="780"/>
      <c r="F133" s="780"/>
      <c r="G133" s="780"/>
      <c r="H133" s="784"/>
      <c r="I133" s="785"/>
      <c r="J133" s="33"/>
      <c r="K133" s="753"/>
      <c r="L133" s="753"/>
      <c r="M133" s="767"/>
      <c r="N133" s="779"/>
      <c r="O133" s="775"/>
      <c r="P133" s="775"/>
      <c r="Q133" s="758"/>
      <c r="R133" s="758"/>
      <c r="S133" s="758"/>
      <c r="T133" s="758"/>
      <c r="U133" s="758"/>
      <c r="V133" s="758"/>
      <c r="W133" s="758"/>
      <c r="X133" s="758"/>
      <c r="Y133" s="758"/>
      <c r="Z133" s="758"/>
      <c r="AA133" s="758"/>
      <c r="AB133" s="758"/>
      <c r="AC133" s="758"/>
      <c r="AD133" s="758"/>
      <c r="AE133" s="758"/>
      <c r="AF133" s="758"/>
      <c r="AG133" s="758"/>
      <c r="AH133" s="758"/>
      <c r="AI133" s="758"/>
      <c r="AJ133" s="758"/>
      <c r="AK133" s="758"/>
      <c r="AL133" s="758"/>
      <c r="AM133" s="758"/>
      <c r="AN133" s="758"/>
      <c r="AO133" s="758"/>
      <c r="CI133" s="753"/>
      <c r="CJ133" s="753"/>
      <c r="CK133" s="753"/>
      <c r="CL133" s="753"/>
      <c r="CM133" s="753"/>
      <c r="CN133" s="753"/>
      <c r="CO133" s="753"/>
      <c r="CP133" s="753"/>
      <c r="CQ133" s="753"/>
      <c r="CR133" s="753"/>
      <c r="CS133" s="753"/>
      <c r="CT133" s="753"/>
      <c r="CU133" s="753"/>
      <c r="CV133" s="753"/>
      <c r="CW133" s="753"/>
      <c r="CX133" s="753"/>
      <c r="CY133" s="753"/>
      <c r="CZ133" s="753"/>
      <c r="DA133" s="753"/>
      <c r="DB133" s="753"/>
      <c r="DC133" s="753"/>
      <c r="DD133" s="753"/>
      <c r="DE133" s="753"/>
      <c r="DF133" s="753"/>
      <c r="DG133" s="753"/>
      <c r="DH133" s="776"/>
      <c r="DI133" s="758"/>
    </row>
    <row r="134" spans="1:113">
      <c r="A134" s="798"/>
      <c r="B134" s="799"/>
      <c r="C134" s="780"/>
      <c r="D134" s="780"/>
      <c r="E134" s="770"/>
      <c r="F134" s="780"/>
      <c r="G134" s="780"/>
      <c r="H134" s="780"/>
      <c r="I134" s="764"/>
      <c r="J134" s="33"/>
      <c r="K134" s="753"/>
      <c r="L134" s="753"/>
      <c r="M134" s="1326"/>
      <c r="N134" s="778"/>
      <c r="O134" s="775"/>
      <c r="P134" s="775"/>
      <c r="Q134" s="758"/>
      <c r="R134" s="758"/>
      <c r="S134" s="758"/>
      <c r="T134" s="758"/>
      <c r="U134" s="758"/>
      <c r="V134" s="758"/>
      <c r="W134" s="758"/>
      <c r="X134" s="758"/>
      <c r="Y134" s="758"/>
      <c r="Z134" s="758"/>
      <c r="AA134" s="758"/>
      <c r="AB134" s="758"/>
      <c r="AC134" s="758"/>
      <c r="AD134" s="758"/>
      <c r="AE134" s="758"/>
      <c r="AF134" s="758"/>
      <c r="AG134" s="758"/>
      <c r="AH134" s="758"/>
      <c r="AI134" s="758"/>
      <c r="AJ134" s="758"/>
      <c r="AK134" s="758"/>
      <c r="AL134" s="758"/>
      <c r="AM134" s="758"/>
      <c r="AN134" s="758"/>
      <c r="AO134" s="758"/>
      <c r="CI134" s="753"/>
      <c r="CJ134" s="753"/>
      <c r="CK134" s="753"/>
      <c r="CL134" s="753"/>
      <c r="CM134" s="753"/>
      <c r="CN134" s="753"/>
      <c r="CO134" s="753"/>
      <c r="CP134" s="753"/>
      <c r="CQ134" s="753"/>
      <c r="CR134" s="753"/>
      <c r="CS134" s="753"/>
      <c r="CT134" s="753"/>
      <c r="CU134" s="753"/>
      <c r="CV134" s="753"/>
      <c r="CW134" s="753"/>
      <c r="CX134" s="753"/>
      <c r="CY134" s="753"/>
      <c r="CZ134" s="753"/>
      <c r="DA134" s="753"/>
      <c r="DB134" s="753"/>
      <c r="DC134" s="753"/>
      <c r="DD134" s="753"/>
      <c r="DE134" s="753"/>
      <c r="DF134" s="753"/>
      <c r="DG134" s="753"/>
      <c r="DH134" s="776"/>
      <c r="DI134" s="779"/>
    </row>
    <row r="135" spans="1:113" ht="15.75">
      <c r="A135" s="794"/>
      <c r="B135" s="800"/>
      <c r="C135" s="780"/>
      <c r="D135" s="780"/>
      <c r="E135" s="770"/>
      <c r="F135" s="780"/>
      <c r="G135" s="780"/>
      <c r="H135" s="780"/>
      <c r="I135" s="788"/>
      <c r="J135" s="33"/>
      <c r="K135" s="753"/>
      <c r="L135" s="753"/>
      <c r="M135" s="753"/>
      <c r="N135" s="758"/>
      <c r="O135" s="758"/>
      <c r="P135" s="775"/>
      <c r="Q135" s="758"/>
      <c r="R135" s="758"/>
      <c r="S135" s="758"/>
      <c r="T135" s="758"/>
      <c r="U135" s="758"/>
      <c r="V135" s="758"/>
      <c r="W135" s="758"/>
      <c r="X135" s="758"/>
      <c r="Y135" s="758"/>
      <c r="Z135" s="758"/>
      <c r="AA135" s="758"/>
      <c r="AB135" s="758"/>
      <c r="AC135" s="758"/>
      <c r="AD135" s="758"/>
      <c r="AE135" s="758"/>
      <c r="AF135" s="758"/>
      <c r="AG135" s="758"/>
      <c r="AH135" s="758"/>
      <c r="AI135" s="758"/>
      <c r="AJ135" s="758"/>
      <c r="AK135" s="758"/>
      <c r="AL135" s="758"/>
      <c r="AM135" s="758"/>
      <c r="AN135" s="758"/>
      <c r="AO135" s="758"/>
      <c r="CI135" s="753"/>
      <c r="CJ135" s="753"/>
      <c r="CK135" s="753"/>
      <c r="CL135" s="753"/>
      <c r="CM135" s="753"/>
      <c r="CN135" s="753"/>
      <c r="CO135" s="753"/>
      <c r="CP135" s="753"/>
      <c r="CQ135" s="753"/>
      <c r="CR135" s="753"/>
      <c r="CS135" s="753"/>
      <c r="CT135" s="753"/>
      <c r="CU135" s="753"/>
      <c r="CV135" s="753"/>
      <c r="CW135" s="753"/>
      <c r="CX135" s="753"/>
      <c r="CY135" s="753"/>
      <c r="CZ135" s="753"/>
      <c r="DA135" s="753"/>
      <c r="DB135" s="753"/>
      <c r="DC135" s="753"/>
      <c r="DD135" s="753"/>
      <c r="DE135" s="753"/>
      <c r="DF135" s="753"/>
      <c r="DG135" s="753"/>
      <c r="DH135" s="776"/>
      <c r="DI135" s="758"/>
    </row>
    <row r="136" spans="1:113" ht="15.75">
      <c r="A136" s="794"/>
      <c r="B136" s="800"/>
      <c r="C136" s="780"/>
      <c r="D136" s="780"/>
      <c r="E136" s="802"/>
      <c r="F136" s="780"/>
      <c r="G136" s="780"/>
      <c r="H136" s="780"/>
      <c r="I136" s="788"/>
      <c r="J136" s="33"/>
      <c r="K136" s="753"/>
      <c r="L136" s="753"/>
      <c r="M136" s="803"/>
      <c r="N136" s="779"/>
      <c r="O136" s="1327"/>
      <c r="P136" s="775"/>
      <c r="Q136" s="758"/>
      <c r="R136" s="758"/>
      <c r="S136" s="758"/>
      <c r="T136" s="758"/>
      <c r="U136" s="758"/>
      <c r="V136" s="758"/>
      <c r="W136" s="758"/>
      <c r="X136" s="758"/>
      <c r="Y136" s="758"/>
      <c r="Z136" s="758"/>
      <c r="AA136" s="758"/>
      <c r="AB136" s="758"/>
      <c r="AC136" s="758"/>
      <c r="AD136" s="758"/>
      <c r="AE136" s="758"/>
      <c r="AF136" s="758"/>
      <c r="AG136" s="758"/>
      <c r="AH136" s="758"/>
      <c r="AI136" s="758"/>
      <c r="AJ136" s="758"/>
      <c r="AK136" s="758"/>
      <c r="AL136" s="758"/>
      <c r="AM136" s="758"/>
      <c r="AN136" s="758"/>
      <c r="AO136" s="758"/>
      <c r="CI136" s="753"/>
      <c r="CJ136" s="753"/>
      <c r="CK136" s="753"/>
      <c r="CL136" s="753"/>
      <c r="CM136" s="753"/>
      <c r="CN136" s="753"/>
      <c r="CO136" s="753"/>
      <c r="CP136" s="753"/>
      <c r="CQ136" s="753"/>
      <c r="CR136" s="753"/>
      <c r="CS136" s="753"/>
      <c r="CT136" s="753"/>
      <c r="CU136" s="753"/>
      <c r="CV136" s="753"/>
      <c r="CW136" s="753"/>
      <c r="CX136" s="753"/>
      <c r="CY136" s="753"/>
      <c r="CZ136" s="753"/>
      <c r="DA136" s="753"/>
      <c r="DB136" s="753"/>
      <c r="DC136" s="753"/>
      <c r="DD136" s="753"/>
      <c r="DE136" s="753"/>
      <c r="DF136" s="753"/>
      <c r="DG136" s="753"/>
      <c r="DH136" s="776"/>
      <c r="DI136" s="758"/>
    </row>
    <row r="137" spans="1:113">
      <c r="A137" s="780"/>
      <c r="B137" s="800"/>
      <c r="C137" s="804"/>
      <c r="D137" s="805"/>
      <c r="E137" s="780"/>
      <c r="F137" s="780"/>
      <c r="G137" s="780"/>
      <c r="H137" s="797"/>
      <c r="I137" s="787"/>
      <c r="J137" s="33"/>
      <c r="K137" s="767"/>
      <c r="L137" s="774"/>
      <c r="M137" s="803"/>
      <c r="N137" s="779"/>
      <c r="O137" s="775"/>
      <c r="P137" s="775"/>
      <c r="Q137" s="758"/>
      <c r="R137" s="758"/>
      <c r="S137" s="758"/>
      <c r="T137" s="758"/>
      <c r="U137" s="758"/>
      <c r="V137" s="758"/>
      <c r="W137" s="758"/>
      <c r="X137" s="758"/>
      <c r="Y137" s="758"/>
      <c r="Z137" s="758"/>
      <c r="AA137" s="758"/>
      <c r="AB137" s="758"/>
      <c r="AC137" s="758"/>
      <c r="AD137" s="758"/>
      <c r="AE137" s="758"/>
      <c r="AF137" s="758"/>
      <c r="AG137" s="758"/>
      <c r="AH137" s="758"/>
      <c r="AI137" s="758"/>
      <c r="AJ137" s="758"/>
      <c r="AK137" s="758"/>
      <c r="AL137" s="758"/>
      <c r="AM137" s="758"/>
      <c r="AN137" s="758"/>
      <c r="AO137" s="758"/>
      <c r="CI137" s="753"/>
      <c r="CJ137" s="753"/>
      <c r="CK137" s="753"/>
      <c r="CL137" s="753"/>
      <c r="CM137" s="753"/>
      <c r="CN137" s="753"/>
      <c r="CO137" s="753"/>
      <c r="CP137" s="753"/>
      <c r="CQ137" s="753"/>
      <c r="CR137" s="753"/>
      <c r="CS137" s="753"/>
      <c r="CT137" s="753"/>
      <c r="CU137" s="753"/>
      <c r="CV137" s="753"/>
      <c r="CW137" s="753"/>
      <c r="CX137" s="753"/>
      <c r="CY137" s="753"/>
      <c r="CZ137" s="753"/>
      <c r="DA137" s="753"/>
      <c r="DB137" s="753"/>
      <c r="DC137" s="753"/>
      <c r="DD137" s="753"/>
      <c r="DE137" s="753"/>
      <c r="DF137" s="753"/>
      <c r="DG137" s="753"/>
      <c r="DH137" s="776"/>
      <c r="DI137" s="758"/>
    </row>
    <row r="138" spans="1:113">
      <c r="A138" s="780"/>
      <c r="B138" s="780"/>
      <c r="C138" s="780"/>
      <c r="D138" s="780"/>
      <c r="E138" s="780"/>
      <c r="F138" s="780"/>
      <c r="G138" s="801"/>
      <c r="H138" s="797"/>
      <c r="I138" s="787"/>
      <c r="J138" s="33"/>
      <c r="K138" s="767"/>
      <c r="L138" s="774"/>
      <c r="M138" s="753"/>
      <c r="N138" s="758"/>
      <c r="O138" s="758"/>
      <c r="P138" s="775"/>
      <c r="Q138" s="758"/>
      <c r="R138" s="758"/>
      <c r="S138" s="758"/>
      <c r="T138" s="758"/>
      <c r="U138" s="758"/>
      <c r="V138" s="758"/>
      <c r="W138" s="758"/>
      <c r="X138" s="758"/>
      <c r="Y138" s="758"/>
      <c r="Z138" s="758"/>
      <c r="AA138" s="758"/>
      <c r="AB138" s="758"/>
      <c r="AC138" s="758"/>
      <c r="AD138" s="758"/>
      <c r="AE138" s="758"/>
      <c r="AF138" s="758"/>
      <c r="AG138" s="758"/>
      <c r="AH138" s="758"/>
      <c r="AI138" s="758"/>
      <c r="AJ138" s="758"/>
      <c r="AK138" s="758"/>
      <c r="AL138" s="758"/>
      <c r="AM138" s="758"/>
      <c r="AN138" s="758"/>
      <c r="AO138" s="758"/>
      <c r="CI138" s="753"/>
      <c r="CJ138" s="753"/>
      <c r="CK138" s="753"/>
      <c r="CL138" s="753"/>
      <c r="CM138" s="753"/>
      <c r="CN138" s="753"/>
      <c r="CO138" s="753"/>
      <c r="CP138" s="753"/>
      <c r="CQ138" s="753"/>
      <c r="CR138" s="753"/>
      <c r="CS138" s="753"/>
      <c r="CT138" s="753"/>
      <c r="CU138" s="753"/>
      <c r="CV138" s="753"/>
      <c r="CW138" s="753"/>
      <c r="CX138" s="753"/>
      <c r="CY138" s="753"/>
      <c r="CZ138" s="753"/>
      <c r="DA138" s="753"/>
      <c r="DB138" s="753"/>
      <c r="DC138" s="753"/>
      <c r="DD138" s="753"/>
      <c r="DE138" s="753"/>
      <c r="DF138" s="753"/>
      <c r="DG138" s="753"/>
      <c r="DH138" s="776"/>
      <c r="DI138" s="758"/>
    </row>
    <row r="139" spans="1:113">
      <c r="A139" s="806"/>
      <c r="B139" s="780"/>
      <c r="C139" s="780"/>
      <c r="D139" s="780"/>
      <c r="E139" s="780"/>
      <c r="F139" s="780"/>
      <c r="G139" s="780"/>
      <c r="H139" s="780"/>
      <c r="I139" s="788"/>
      <c r="J139" s="33"/>
      <c r="K139" s="753"/>
      <c r="L139" s="753"/>
      <c r="M139" s="767"/>
      <c r="N139" s="807"/>
      <c r="O139" s="775"/>
      <c r="P139" s="775"/>
      <c r="Q139" s="758"/>
      <c r="R139" s="758"/>
      <c r="S139" s="758"/>
      <c r="T139" s="758"/>
      <c r="U139" s="758"/>
      <c r="V139" s="758"/>
      <c r="W139" s="758"/>
      <c r="X139" s="758"/>
      <c r="Y139" s="758"/>
      <c r="Z139" s="758"/>
      <c r="AA139" s="758"/>
      <c r="AB139" s="758"/>
      <c r="AC139" s="758"/>
      <c r="AD139" s="758"/>
      <c r="AE139" s="758"/>
      <c r="AF139" s="758"/>
      <c r="AG139" s="758"/>
      <c r="AH139" s="758"/>
      <c r="AI139" s="758"/>
      <c r="AJ139" s="758"/>
      <c r="AK139" s="758"/>
      <c r="AL139" s="758"/>
      <c r="AM139" s="758"/>
      <c r="AN139" s="758"/>
      <c r="AO139" s="758"/>
      <c r="CI139" s="753"/>
      <c r="CJ139" s="753"/>
      <c r="CK139" s="753"/>
      <c r="CL139" s="753"/>
      <c r="CM139" s="753"/>
      <c r="CN139" s="753"/>
      <c r="CO139" s="753"/>
      <c r="CP139" s="753"/>
      <c r="CQ139" s="753"/>
      <c r="CR139" s="753"/>
      <c r="CS139" s="753"/>
      <c r="CT139" s="753"/>
      <c r="CU139" s="753"/>
      <c r="CV139" s="753"/>
      <c r="CW139" s="753"/>
      <c r="CX139" s="753"/>
      <c r="CY139" s="753"/>
      <c r="CZ139" s="753"/>
      <c r="DA139" s="753"/>
      <c r="DB139" s="753"/>
      <c r="DC139" s="753"/>
      <c r="DD139" s="753"/>
      <c r="DE139" s="753"/>
      <c r="DF139" s="753"/>
      <c r="DG139" s="753"/>
      <c r="DH139" s="776"/>
      <c r="DI139" s="758"/>
    </row>
    <row r="140" spans="1:113" ht="15.75">
      <c r="A140" s="794"/>
      <c r="B140" s="800"/>
      <c r="C140" s="780"/>
      <c r="D140" s="780"/>
      <c r="E140" s="780"/>
      <c r="F140" s="801"/>
      <c r="G140" s="780"/>
      <c r="H140" s="801"/>
      <c r="I140" s="764"/>
      <c r="J140" s="33"/>
      <c r="K140" s="753"/>
      <c r="L140" s="753"/>
      <c r="M140" s="767"/>
      <c r="N140" s="779"/>
      <c r="O140" s="775"/>
      <c r="P140" s="775"/>
      <c r="Q140" s="758"/>
      <c r="R140" s="758"/>
      <c r="S140" s="758"/>
      <c r="T140" s="758"/>
      <c r="U140" s="758"/>
      <c r="V140" s="758"/>
      <c r="W140" s="758"/>
      <c r="X140" s="758"/>
      <c r="Y140" s="758"/>
      <c r="Z140" s="758"/>
      <c r="AA140" s="758"/>
      <c r="AB140" s="758"/>
      <c r="AC140" s="758"/>
      <c r="AD140" s="758"/>
      <c r="AE140" s="758"/>
      <c r="AF140" s="758"/>
      <c r="AG140" s="758"/>
      <c r="AH140" s="758"/>
      <c r="AI140" s="758"/>
      <c r="AJ140" s="758"/>
      <c r="AK140" s="758"/>
      <c r="AL140" s="758"/>
      <c r="AM140" s="758"/>
      <c r="AN140" s="758"/>
      <c r="AO140" s="758"/>
      <c r="CI140" s="753"/>
      <c r="CJ140" s="753"/>
      <c r="CK140" s="753"/>
      <c r="CL140" s="753"/>
      <c r="CM140" s="753"/>
      <c r="CN140" s="753"/>
      <c r="CO140" s="753"/>
      <c r="CP140" s="753"/>
      <c r="CQ140" s="753"/>
      <c r="CR140" s="753"/>
      <c r="CS140" s="753"/>
      <c r="CT140" s="753"/>
      <c r="CU140" s="753"/>
      <c r="CV140" s="753"/>
      <c r="CW140" s="753"/>
      <c r="CX140" s="753"/>
      <c r="CY140" s="753"/>
      <c r="CZ140" s="753"/>
      <c r="DA140" s="753"/>
      <c r="DB140" s="753"/>
      <c r="DC140" s="753"/>
      <c r="DD140" s="753"/>
      <c r="DE140" s="753"/>
      <c r="DF140" s="753"/>
      <c r="DG140" s="753"/>
      <c r="DH140" s="776"/>
      <c r="DI140" s="758"/>
    </row>
    <row r="141" spans="1:113" ht="15.75">
      <c r="A141" s="794"/>
      <c r="B141" s="800"/>
      <c r="C141" s="780"/>
      <c r="D141" s="780"/>
      <c r="E141" s="773"/>
      <c r="F141" s="773"/>
      <c r="G141" s="780"/>
      <c r="H141" s="780"/>
      <c r="I141" s="788"/>
      <c r="J141" s="33"/>
      <c r="K141" s="753"/>
      <c r="L141" s="753"/>
      <c r="M141" s="767"/>
      <c r="N141" s="779"/>
      <c r="O141" s="775"/>
      <c r="P141" s="775"/>
      <c r="Q141" s="758"/>
      <c r="R141" s="758"/>
      <c r="S141" s="758"/>
      <c r="T141" s="758"/>
      <c r="U141" s="758"/>
      <c r="V141" s="758"/>
      <c r="W141" s="758"/>
      <c r="X141" s="758"/>
      <c r="Y141" s="758"/>
      <c r="Z141" s="758"/>
      <c r="AA141" s="758"/>
      <c r="AB141" s="758"/>
      <c r="AC141" s="758"/>
      <c r="AD141" s="758"/>
      <c r="AE141" s="758"/>
      <c r="AF141" s="758"/>
      <c r="AG141" s="758"/>
      <c r="AH141" s="758"/>
      <c r="AI141" s="758"/>
      <c r="AJ141" s="758"/>
      <c r="AK141" s="758"/>
      <c r="AL141" s="758"/>
      <c r="AM141" s="758"/>
      <c r="AN141" s="758"/>
      <c r="AO141" s="758"/>
      <c r="CI141" s="753"/>
      <c r="CJ141" s="753"/>
      <c r="CK141" s="753"/>
      <c r="CL141" s="753"/>
      <c r="CM141" s="753"/>
      <c r="CN141" s="753"/>
      <c r="CO141" s="753"/>
      <c r="CP141" s="753"/>
      <c r="CQ141" s="753"/>
      <c r="CR141" s="753"/>
      <c r="CS141" s="753"/>
      <c r="CT141" s="753"/>
      <c r="CU141" s="753"/>
      <c r="CV141" s="753"/>
      <c r="CW141" s="753"/>
      <c r="CX141" s="753"/>
      <c r="CY141" s="753"/>
      <c r="CZ141" s="753"/>
      <c r="DA141" s="753"/>
      <c r="DB141" s="753"/>
      <c r="DC141" s="753"/>
      <c r="DD141" s="753"/>
      <c r="DE141" s="753"/>
      <c r="DF141" s="753"/>
      <c r="DG141" s="753"/>
      <c r="DH141" s="776"/>
      <c r="DI141" s="758"/>
    </row>
    <row r="142" spans="1:113">
      <c r="A142" s="798"/>
      <c r="B142" s="799"/>
      <c r="C142" s="780"/>
      <c r="D142" s="780"/>
      <c r="E142" s="780"/>
      <c r="F142" s="780"/>
      <c r="G142" s="773"/>
      <c r="H142" s="773"/>
      <c r="I142" s="764"/>
      <c r="J142" s="33"/>
      <c r="K142" s="753"/>
      <c r="L142" s="753"/>
      <c r="M142" s="767"/>
      <c r="N142" s="779"/>
      <c r="O142" s="775"/>
      <c r="P142" s="775"/>
      <c r="Q142" s="758"/>
      <c r="R142" s="758"/>
      <c r="S142" s="758"/>
      <c r="T142" s="758"/>
      <c r="U142" s="758"/>
      <c r="V142" s="758"/>
      <c r="W142" s="758"/>
      <c r="X142" s="758"/>
      <c r="Y142" s="758"/>
      <c r="Z142" s="758"/>
      <c r="AA142" s="758"/>
      <c r="AB142" s="758"/>
      <c r="AC142" s="758"/>
      <c r="AD142" s="758"/>
      <c r="AE142" s="758"/>
      <c r="AF142" s="758"/>
      <c r="AG142" s="758"/>
      <c r="AH142" s="758"/>
      <c r="AI142" s="758"/>
      <c r="AJ142" s="758"/>
      <c r="AK142" s="758"/>
      <c r="AL142" s="758"/>
      <c r="AM142" s="758"/>
      <c r="AN142" s="758"/>
      <c r="AO142" s="758"/>
      <c r="CI142" s="753"/>
      <c r="CJ142" s="753"/>
      <c r="CK142" s="753"/>
      <c r="CL142" s="753"/>
      <c r="CM142" s="753"/>
      <c r="CN142" s="753"/>
      <c r="CO142" s="753"/>
      <c r="CP142" s="753"/>
      <c r="CQ142" s="753"/>
      <c r="CR142" s="753"/>
      <c r="CS142" s="753"/>
      <c r="CT142" s="753"/>
      <c r="CU142" s="753"/>
      <c r="CV142" s="753"/>
      <c r="CW142" s="753"/>
      <c r="CX142" s="753"/>
      <c r="CY142" s="753"/>
      <c r="CZ142" s="753"/>
      <c r="DA142" s="753"/>
      <c r="DB142" s="753"/>
      <c r="DC142" s="753"/>
      <c r="DD142" s="753"/>
      <c r="DE142" s="753"/>
      <c r="DF142" s="753"/>
      <c r="DG142" s="753"/>
      <c r="DH142" s="776"/>
      <c r="DI142" s="758"/>
    </row>
    <row r="143" spans="1:113">
      <c r="A143" s="780"/>
      <c r="B143" s="780"/>
      <c r="C143" s="780"/>
      <c r="D143" s="804"/>
      <c r="E143" s="773"/>
      <c r="F143" s="773"/>
      <c r="G143" s="780"/>
      <c r="H143" s="801"/>
      <c r="I143" s="764"/>
      <c r="J143" s="33"/>
      <c r="K143" s="808"/>
      <c r="L143" s="753"/>
      <c r="M143" s="767"/>
      <c r="N143" s="779"/>
      <c r="O143" s="758"/>
      <c r="P143" s="775"/>
      <c r="Q143" s="758"/>
      <c r="R143" s="758"/>
      <c r="S143" s="758"/>
      <c r="T143" s="758"/>
      <c r="U143" s="758"/>
      <c r="V143" s="758"/>
      <c r="W143" s="758"/>
      <c r="X143" s="758"/>
      <c r="Y143" s="758"/>
      <c r="Z143" s="758"/>
      <c r="AA143" s="758"/>
      <c r="AB143" s="758"/>
      <c r="AC143" s="758"/>
      <c r="AD143" s="758"/>
      <c r="AE143" s="758"/>
      <c r="AF143" s="758"/>
      <c r="AG143" s="758"/>
      <c r="AH143" s="758"/>
      <c r="AI143" s="758"/>
      <c r="AJ143" s="758"/>
      <c r="AK143" s="758"/>
      <c r="AL143" s="758"/>
      <c r="AM143" s="758"/>
      <c r="AN143" s="758"/>
      <c r="AO143" s="758"/>
      <c r="CI143" s="753"/>
      <c r="CJ143" s="753"/>
      <c r="CK143" s="753"/>
      <c r="CL143" s="753"/>
      <c r="CM143" s="753"/>
      <c r="CN143" s="753"/>
      <c r="CO143" s="753"/>
      <c r="CP143" s="753"/>
      <c r="CQ143" s="753"/>
      <c r="CR143" s="753"/>
      <c r="CS143" s="753"/>
      <c r="CT143" s="753"/>
      <c r="CU143" s="753"/>
      <c r="CV143" s="753"/>
      <c r="CW143" s="753"/>
      <c r="CX143" s="753"/>
      <c r="CY143" s="753"/>
      <c r="CZ143" s="753"/>
      <c r="DA143" s="753"/>
      <c r="DB143" s="753"/>
      <c r="DC143" s="753"/>
      <c r="DD143" s="753"/>
      <c r="DE143" s="753"/>
      <c r="DF143" s="753"/>
      <c r="DG143" s="753"/>
      <c r="DH143" s="776"/>
      <c r="DI143" s="758"/>
    </row>
    <row r="144" spans="1:113">
      <c r="A144" s="796"/>
      <c r="B144" s="800"/>
      <c r="C144" s="804"/>
      <c r="D144" s="804"/>
      <c r="E144" s="780"/>
      <c r="F144" s="780"/>
      <c r="G144" s="773"/>
      <c r="H144" s="773"/>
      <c r="I144" s="764"/>
      <c r="J144" s="753"/>
      <c r="K144" s="793"/>
      <c r="L144" s="753"/>
      <c r="M144" s="767"/>
      <c r="N144" s="779"/>
      <c r="O144" s="758"/>
      <c r="P144" s="775"/>
      <c r="Q144" s="758"/>
      <c r="R144" s="758"/>
      <c r="S144" s="758"/>
      <c r="T144" s="758"/>
      <c r="U144" s="758"/>
      <c r="V144" s="758"/>
      <c r="W144" s="758"/>
      <c r="X144" s="758"/>
      <c r="Y144" s="758"/>
      <c r="Z144" s="758"/>
      <c r="AA144" s="758"/>
      <c r="AB144" s="758"/>
      <c r="AC144" s="758"/>
      <c r="AD144" s="758"/>
      <c r="AE144" s="758"/>
      <c r="AF144" s="758"/>
      <c r="AG144" s="758"/>
      <c r="AH144" s="758"/>
      <c r="AI144" s="758"/>
      <c r="AJ144" s="758"/>
      <c r="AK144" s="758"/>
      <c r="AL144" s="758"/>
      <c r="AM144" s="758"/>
      <c r="AN144" s="758"/>
      <c r="AO144" s="758"/>
      <c r="CI144" s="753"/>
      <c r="CJ144" s="753"/>
      <c r="CK144" s="753"/>
      <c r="CL144" s="753"/>
      <c r="CM144" s="753"/>
      <c r="CN144" s="753"/>
      <c r="CO144" s="753"/>
      <c r="CP144" s="753"/>
      <c r="CQ144" s="753"/>
      <c r="CR144" s="753"/>
      <c r="CS144" s="753"/>
      <c r="CT144" s="753"/>
      <c r="CU144" s="753"/>
      <c r="CV144" s="753"/>
      <c r="CW144" s="753"/>
      <c r="CX144" s="753"/>
      <c r="CY144" s="753"/>
      <c r="CZ144" s="753"/>
      <c r="DA144" s="753"/>
      <c r="DB144" s="753"/>
      <c r="DC144" s="753"/>
      <c r="DD144" s="753"/>
      <c r="DE144" s="753"/>
      <c r="DF144" s="753"/>
      <c r="DG144" s="753"/>
      <c r="DH144" s="776"/>
      <c r="DI144" s="758"/>
    </row>
    <row r="145" spans="1:113">
      <c r="A145" s="798"/>
      <c r="B145" s="800"/>
      <c r="C145" s="809"/>
      <c r="D145" s="804"/>
      <c r="E145" s="773"/>
      <c r="F145" s="773"/>
      <c r="G145" s="773"/>
      <c r="H145" s="797"/>
      <c r="I145" s="787"/>
      <c r="J145" s="753"/>
      <c r="K145" s="767"/>
      <c r="L145" s="753"/>
      <c r="M145" s="767"/>
      <c r="N145" s="774"/>
      <c r="O145" s="775"/>
      <c r="P145" s="810"/>
      <c r="Q145" s="758"/>
      <c r="R145" s="758"/>
      <c r="S145" s="758"/>
      <c r="T145" s="758"/>
      <c r="U145" s="758"/>
      <c r="V145" s="758"/>
      <c r="W145" s="758"/>
      <c r="X145" s="758"/>
      <c r="Y145" s="758"/>
      <c r="Z145" s="758"/>
      <c r="AA145" s="758"/>
      <c r="AB145" s="758"/>
      <c r="AC145" s="758"/>
      <c r="AD145" s="758"/>
      <c r="AE145" s="758"/>
      <c r="AF145" s="758"/>
      <c r="AG145" s="758"/>
      <c r="AH145" s="758"/>
      <c r="AI145" s="758"/>
      <c r="AJ145" s="758"/>
      <c r="AK145" s="758"/>
      <c r="AL145" s="758"/>
      <c r="AM145" s="758"/>
      <c r="AN145" s="758"/>
      <c r="AO145" s="758"/>
      <c r="CI145" s="753"/>
      <c r="CJ145" s="753"/>
      <c r="CK145" s="753"/>
      <c r="CL145" s="753"/>
      <c r="CM145" s="753"/>
      <c r="CN145" s="753"/>
      <c r="CO145" s="753"/>
      <c r="CP145" s="753"/>
      <c r="CQ145" s="753"/>
      <c r="CR145" s="753"/>
      <c r="CS145" s="753"/>
      <c r="CT145" s="753"/>
      <c r="CU145" s="753"/>
      <c r="CV145" s="753"/>
      <c r="CW145" s="753"/>
      <c r="CX145" s="753"/>
      <c r="CY145" s="753"/>
      <c r="CZ145" s="753"/>
      <c r="DA145" s="753"/>
      <c r="DB145" s="753"/>
      <c r="DC145" s="753"/>
      <c r="DD145" s="753"/>
      <c r="DE145" s="753"/>
      <c r="DF145" s="753"/>
      <c r="DG145" s="753"/>
      <c r="DH145" s="776"/>
      <c r="DI145" s="778"/>
    </row>
    <row r="146" spans="1:113">
      <c r="A146" s="798"/>
      <c r="B146" s="800"/>
      <c r="C146" s="804"/>
      <c r="D146" s="804"/>
      <c r="E146" s="773"/>
      <c r="F146" s="773"/>
      <c r="G146" s="773"/>
      <c r="H146" s="773"/>
      <c r="I146" s="788"/>
      <c r="J146" s="753"/>
      <c r="K146" s="767"/>
      <c r="L146" s="753"/>
      <c r="M146" s="767"/>
      <c r="N146" s="774"/>
      <c r="O146" s="775"/>
      <c r="P146" s="810"/>
      <c r="Q146" s="758"/>
      <c r="R146" s="758"/>
      <c r="S146" s="758"/>
      <c r="T146" s="758"/>
      <c r="U146" s="758"/>
      <c r="V146" s="758"/>
      <c r="W146" s="758"/>
      <c r="X146" s="758"/>
      <c r="Y146" s="758"/>
      <c r="Z146" s="758"/>
      <c r="AA146" s="758"/>
      <c r="AB146" s="758"/>
      <c r="AC146" s="758"/>
      <c r="AD146" s="758"/>
      <c r="AE146" s="758"/>
      <c r="AF146" s="758"/>
      <c r="AG146" s="758"/>
      <c r="AH146" s="758"/>
      <c r="AI146" s="758"/>
      <c r="AJ146" s="758"/>
      <c r="AK146" s="758"/>
      <c r="AL146" s="758"/>
      <c r="AM146" s="758"/>
      <c r="AN146" s="758"/>
      <c r="AO146" s="758"/>
      <c r="CI146" s="753"/>
      <c r="CJ146" s="753"/>
      <c r="CK146" s="753"/>
      <c r="CL146" s="753"/>
      <c r="CM146" s="753"/>
      <c r="CN146" s="753"/>
      <c r="CO146" s="753"/>
      <c r="CP146" s="753"/>
      <c r="CQ146" s="753"/>
      <c r="CR146" s="753"/>
      <c r="CS146" s="753"/>
      <c r="CT146" s="753"/>
      <c r="CU146" s="753"/>
      <c r="CV146" s="753"/>
      <c r="CW146" s="753"/>
      <c r="CX146" s="753"/>
      <c r="CY146" s="753"/>
      <c r="CZ146" s="753"/>
      <c r="DA146" s="753"/>
      <c r="DB146" s="753"/>
      <c r="DC146" s="753"/>
      <c r="DD146" s="753"/>
      <c r="DE146" s="753"/>
      <c r="DF146" s="753"/>
      <c r="DG146" s="753"/>
      <c r="DH146" s="776"/>
      <c r="DI146" s="758"/>
    </row>
    <row r="147" spans="1:113">
      <c r="A147" s="798"/>
      <c r="B147" s="800"/>
      <c r="C147" s="804"/>
      <c r="D147" s="804"/>
      <c r="E147" s="780"/>
      <c r="F147" s="780"/>
      <c r="G147" s="780"/>
      <c r="H147" s="780"/>
      <c r="I147" s="780"/>
      <c r="J147" s="753"/>
      <c r="K147" s="767"/>
      <c r="L147" s="753"/>
      <c r="M147" s="767"/>
      <c r="N147" s="779"/>
      <c r="O147" s="775"/>
      <c r="P147" s="775"/>
      <c r="Q147" s="758"/>
      <c r="R147" s="758"/>
      <c r="S147" s="758"/>
      <c r="T147" s="758"/>
      <c r="U147" s="758"/>
      <c r="V147" s="758"/>
      <c r="W147" s="758"/>
      <c r="X147" s="758"/>
      <c r="Y147" s="758"/>
      <c r="Z147" s="758"/>
      <c r="AA147" s="758"/>
      <c r="AB147" s="758"/>
      <c r="AC147" s="758"/>
      <c r="AD147" s="758"/>
      <c r="AE147" s="758"/>
      <c r="AF147" s="758"/>
      <c r="AG147" s="758"/>
      <c r="AH147" s="758"/>
      <c r="AI147" s="758"/>
      <c r="AJ147" s="758"/>
      <c r="AK147" s="758"/>
      <c r="AL147" s="758"/>
      <c r="AM147" s="758"/>
      <c r="AN147" s="758"/>
      <c r="AO147" s="758"/>
      <c r="CI147" s="753"/>
      <c r="CJ147" s="753"/>
      <c r="CK147" s="753"/>
      <c r="CL147" s="753"/>
      <c r="CM147" s="753"/>
      <c r="CN147" s="753"/>
      <c r="CO147" s="753"/>
      <c r="CP147" s="753"/>
      <c r="CQ147" s="753"/>
      <c r="CR147" s="753"/>
      <c r="CS147" s="753"/>
      <c r="CT147" s="753"/>
      <c r="CU147" s="753"/>
      <c r="CV147" s="753"/>
      <c r="CW147" s="753"/>
      <c r="CX147" s="753"/>
      <c r="CY147" s="753"/>
      <c r="CZ147" s="753"/>
      <c r="DA147" s="753"/>
      <c r="DB147" s="753"/>
      <c r="DC147" s="753"/>
      <c r="DD147" s="753"/>
      <c r="DE147" s="753"/>
      <c r="DF147" s="753"/>
      <c r="DG147" s="753"/>
      <c r="DH147" s="776"/>
      <c r="DI147" s="758"/>
    </row>
    <row r="148" spans="1:113">
      <c r="A148" s="798"/>
      <c r="B148" s="800"/>
      <c r="C148" s="804"/>
      <c r="D148" s="804"/>
      <c r="E148" s="780"/>
      <c r="F148" s="780"/>
      <c r="G148" s="780"/>
      <c r="H148" s="780"/>
      <c r="I148" s="780"/>
      <c r="J148" s="753"/>
      <c r="K148" s="753"/>
      <c r="L148" s="753"/>
      <c r="M148" s="767"/>
      <c r="N148" s="779"/>
      <c r="O148" s="775"/>
      <c r="P148" s="775"/>
      <c r="Q148" s="758"/>
      <c r="R148" s="758"/>
      <c r="S148" s="758"/>
      <c r="T148" s="758"/>
      <c r="U148" s="758"/>
      <c r="V148" s="758"/>
      <c r="W148" s="758"/>
      <c r="X148" s="758"/>
      <c r="Y148" s="758"/>
      <c r="Z148" s="758"/>
      <c r="AA148" s="758"/>
      <c r="AB148" s="758"/>
      <c r="AC148" s="758"/>
      <c r="AD148" s="758"/>
      <c r="AE148" s="758"/>
      <c r="AF148" s="758"/>
      <c r="AG148" s="758"/>
      <c r="AH148" s="758"/>
      <c r="AI148" s="758"/>
      <c r="AJ148" s="758"/>
      <c r="AK148" s="758"/>
      <c r="AL148" s="758"/>
      <c r="AM148" s="758"/>
      <c r="AN148" s="758"/>
      <c r="AO148" s="758"/>
      <c r="CI148" s="753"/>
      <c r="CJ148" s="753"/>
      <c r="CK148" s="753"/>
      <c r="CL148" s="753"/>
      <c r="CM148" s="753"/>
      <c r="CN148" s="753"/>
      <c r="CO148" s="753"/>
      <c r="CP148" s="753"/>
      <c r="CQ148" s="753"/>
      <c r="CR148" s="753"/>
      <c r="CS148" s="753"/>
      <c r="CT148" s="753"/>
      <c r="CU148" s="753"/>
      <c r="CV148" s="753"/>
      <c r="CW148" s="753"/>
      <c r="CX148" s="753"/>
      <c r="CY148" s="753"/>
      <c r="CZ148" s="753"/>
      <c r="DA148" s="753"/>
      <c r="DB148" s="753"/>
      <c r="DC148" s="753"/>
      <c r="DD148" s="753"/>
      <c r="DE148" s="753"/>
      <c r="DF148" s="753"/>
      <c r="DG148" s="753"/>
      <c r="DH148" s="776"/>
      <c r="DI148" s="758"/>
    </row>
    <row r="149" spans="1:113">
      <c r="A149" s="798"/>
      <c r="B149" s="800"/>
      <c r="C149" s="804"/>
      <c r="D149" s="780"/>
      <c r="E149" s="780"/>
      <c r="F149" s="780"/>
      <c r="G149" s="780"/>
      <c r="H149" s="780"/>
      <c r="I149" s="780"/>
      <c r="J149" s="753"/>
      <c r="K149" s="793"/>
      <c r="L149" s="753"/>
      <c r="M149" s="767"/>
      <c r="N149" s="774"/>
      <c r="O149" s="775"/>
      <c r="P149" s="810"/>
      <c r="Q149" s="758"/>
      <c r="R149" s="758"/>
      <c r="S149" s="758"/>
      <c r="T149" s="758"/>
      <c r="U149" s="758"/>
      <c r="V149" s="758"/>
      <c r="W149" s="758"/>
      <c r="X149" s="758"/>
      <c r="Y149" s="758"/>
      <c r="Z149" s="758"/>
      <c r="AA149" s="758"/>
      <c r="AB149" s="758"/>
      <c r="AC149" s="758"/>
      <c r="AD149" s="758"/>
      <c r="AE149" s="758"/>
      <c r="AF149" s="758"/>
      <c r="AG149" s="758"/>
      <c r="AH149" s="758"/>
      <c r="AI149" s="758"/>
      <c r="AJ149" s="758"/>
      <c r="AK149" s="758"/>
      <c r="AL149" s="758"/>
      <c r="AM149" s="758"/>
      <c r="AN149" s="758"/>
      <c r="AO149" s="758"/>
      <c r="CI149" s="753"/>
      <c r="CJ149" s="753"/>
      <c r="CK149" s="753"/>
      <c r="CL149" s="753"/>
      <c r="CM149" s="753"/>
      <c r="CN149" s="753"/>
      <c r="CO149" s="753"/>
      <c r="CP149" s="753"/>
      <c r="CQ149" s="753"/>
      <c r="CR149" s="753"/>
      <c r="CS149" s="753"/>
      <c r="CT149" s="753"/>
      <c r="CU149" s="753"/>
      <c r="CV149" s="753"/>
      <c r="CW149" s="753"/>
      <c r="CX149" s="753"/>
      <c r="CY149" s="753"/>
      <c r="CZ149" s="753"/>
      <c r="DA149" s="753"/>
      <c r="DB149" s="753"/>
      <c r="DC149" s="753"/>
      <c r="DD149" s="753"/>
      <c r="DE149" s="753"/>
      <c r="DF149" s="753"/>
      <c r="DG149" s="753"/>
      <c r="DH149" s="776"/>
      <c r="DI149" s="758"/>
    </row>
    <row r="150" spans="1:113">
      <c r="A150" s="780"/>
      <c r="B150" s="780"/>
      <c r="C150" s="780"/>
      <c r="D150" s="780"/>
      <c r="E150" s="780"/>
      <c r="F150" s="780"/>
      <c r="G150" s="780"/>
      <c r="H150" s="780"/>
      <c r="I150" s="780"/>
      <c r="J150" s="753"/>
      <c r="K150" s="767"/>
      <c r="L150" s="753"/>
      <c r="M150" s="767"/>
      <c r="N150" s="774"/>
      <c r="O150" s="775"/>
      <c r="P150" s="810"/>
      <c r="Q150" s="758"/>
      <c r="R150" s="758"/>
      <c r="S150" s="758"/>
      <c r="T150" s="758"/>
      <c r="U150" s="758"/>
      <c r="V150" s="758"/>
      <c r="W150" s="758"/>
      <c r="X150" s="758"/>
      <c r="Y150" s="758"/>
      <c r="Z150" s="758"/>
      <c r="AA150" s="758"/>
      <c r="AB150" s="758"/>
      <c r="AC150" s="758"/>
      <c r="AD150" s="758"/>
      <c r="AE150" s="758"/>
      <c r="AF150" s="758"/>
      <c r="AG150" s="758"/>
      <c r="AH150" s="758"/>
      <c r="AI150" s="758"/>
      <c r="AJ150" s="758"/>
      <c r="AK150" s="758"/>
      <c r="AL150" s="758"/>
      <c r="AM150" s="758"/>
      <c r="AN150" s="758"/>
      <c r="AO150" s="758"/>
      <c r="CI150" s="753"/>
      <c r="CJ150" s="753"/>
      <c r="CK150" s="753"/>
      <c r="CL150" s="753"/>
      <c r="CM150" s="753"/>
      <c r="CN150" s="753"/>
      <c r="CO150" s="753"/>
      <c r="CP150" s="753"/>
      <c r="CQ150" s="753"/>
      <c r="CR150" s="753"/>
      <c r="CS150" s="753"/>
      <c r="CT150" s="753"/>
      <c r="CU150" s="753"/>
      <c r="CV150" s="753"/>
      <c r="CW150" s="753"/>
      <c r="CX150" s="753"/>
      <c r="CY150" s="753"/>
      <c r="CZ150" s="753"/>
      <c r="DA150" s="753"/>
      <c r="DB150" s="753"/>
      <c r="DC150" s="753"/>
      <c r="DD150" s="753"/>
      <c r="DE150" s="753"/>
      <c r="DF150" s="753"/>
      <c r="DG150" s="753"/>
      <c r="DH150" s="776"/>
      <c r="DI150" s="758"/>
    </row>
    <row r="151" spans="1:113">
      <c r="A151" s="780"/>
      <c r="B151" s="780"/>
      <c r="C151" s="780"/>
      <c r="D151" s="780"/>
      <c r="E151" s="780"/>
      <c r="F151" s="780"/>
      <c r="G151" s="780"/>
      <c r="H151" s="780"/>
      <c r="I151" s="780"/>
      <c r="J151" s="753"/>
      <c r="K151" s="767"/>
      <c r="L151" s="753"/>
      <c r="M151" s="767"/>
      <c r="N151" s="774"/>
      <c r="O151" s="775"/>
      <c r="P151" s="810"/>
      <c r="Q151" s="758"/>
      <c r="R151" s="758"/>
      <c r="S151" s="758"/>
      <c r="T151" s="758"/>
      <c r="U151" s="758"/>
      <c r="V151" s="758"/>
      <c r="W151" s="758"/>
      <c r="X151" s="758"/>
      <c r="Y151" s="758"/>
      <c r="Z151" s="758"/>
      <c r="AA151" s="758"/>
      <c r="AB151" s="758"/>
      <c r="AC151" s="758"/>
      <c r="AD151" s="758"/>
      <c r="AE151" s="758"/>
      <c r="AF151" s="758"/>
      <c r="AG151" s="758"/>
      <c r="AH151" s="758"/>
      <c r="AI151" s="758"/>
      <c r="AJ151" s="758"/>
      <c r="AK151" s="758"/>
      <c r="AL151" s="758"/>
      <c r="AM151" s="758"/>
      <c r="AN151" s="758"/>
      <c r="AO151" s="758"/>
      <c r="CI151" s="753"/>
      <c r="CJ151" s="753"/>
      <c r="CK151" s="753"/>
      <c r="CL151" s="753"/>
      <c r="CM151" s="753"/>
      <c r="CN151" s="753"/>
      <c r="CO151" s="753"/>
      <c r="CP151" s="753"/>
      <c r="CQ151" s="753"/>
      <c r="CR151" s="753"/>
      <c r="CS151" s="753"/>
      <c r="CT151" s="753"/>
      <c r="CU151" s="753"/>
      <c r="CV151" s="753"/>
      <c r="CW151" s="753"/>
      <c r="CX151" s="753"/>
      <c r="CY151" s="753"/>
      <c r="CZ151" s="753"/>
      <c r="DA151" s="753"/>
      <c r="DB151" s="753"/>
      <c r="DC151" s="753"/>
      <c r="DD151" s="753"/>
      <c r="DE151" s="753"/>
      <c r="DF151" s="753"/>
      <c r="DG151" s="753"/>
      <c r="DH151" s="776"/>
      <c r="DI151" s="770"/>
    </row>
    <row r="152" spans="1:113">
      <c r="A152" s="780"/>
      <c r="B152" s="780"/>
      <c r="C152" s="780"/>
      <c r="D152" s="780"/>
      <c r="E152" s="780"/>
      <c r="F152" s="780"/>
      <c r="G152" s="780"/>
      <c r="H152" s="780"/>
      <c r="I152" s="780"/>
      <c r="J152" s="753"/>
      <c r="K152" s="767"/>
      <c r="L152" s="753"/>
      <c r="M152" s="767"/>
      <c r="N152" s="774"/>
      <c r="O152" s="775"/>
      <c r="P152" s="810"/>
      <c r="Q152" s="758"/>
      <c r="R152" s="758"/>
      <c r="S152" s="758"/>
      <c r="T152" s="758"/>
      <c r="U152" s="758"/>
      <c r="V152" s="758"/>
      <c r="W152" s="758"/>
      <c r="X152" s="758"/>
      <c r="Y152" s="758"/>
      <c r="Z152" s="758"/>
      <c r="AA152" s="758"/>
      <c r="AB152" s="758"/>
      <c r="AC152" s="758"/>
      <c r="AD152" s="758"/>
      <c r="AE152" s="758"/>
      <c r="AF152" s="758"/>
      <c r="AG152" s="758"/>
      <c r="AH152" s="758"/>
      <c r="AI152" s="758"/>
      <c r="AJ152" s="758"/>
      <c r="AK152" s="758"/>
      <c r="AL152" s="758"/>
      <c r="AM152" s="758"/>
      <c r="AN152" s="758"/>
      <c r="AO152" s="758"/>
      <c r="CI152" s="753"/>
      <c r="CJ152" s="753"/>
      <c r="CK152" s="753"/>
      <c r="CL152" s="753"/>
      <c r="CM152" s="753"/>
      <c r="CN152" s="753"/>
      <c r="CO152" s="753"/>
      <c r="CP152" s="753"/>
      <c r="CQ152" s="753"/>
      <c r="CR152" s="753"/>
      <c r="CS152" s="753"/>
      <c r="CT152" s="753"/>
      <c r="CU152" s="753"/>
      <c r="CV152" s="753"/>
      <c r="CW152" s="753"/>
      <c r="CX152" s="753"/>
      <c r="CY152" s="753"/>
      <c r="CZ152" s="753"/>
      <c r="DA152" s="753"/>
      <c r="DB152" s="753"/>
      <c r="DC152" s="753"/>
      <c r="DD152" s="753"/>
      <c r="DE152" s="753"/>
      <c r="DF152" s="753"/>
      <c r="DG152" s="753"/>
      <c r="DH152" s="776"/>
      <c r="DI152" s="758"/>
    </row>
    <row r="153" spans="1:113">
      <c r="A153" s="780"/>
      <c r="B153" s="780"/>
      <c r="C153" s="780"/>
      <c r="D153" s="780"/>
      <c r="E153" s="780"/>
      <c r="F153" s="780"/>
      <c r="G153" s="780"/>
      <c r="H153" s="780"/>
      <c r="I153" s="780"/>
      <c r="J153" s="753"/>
      <c r="K153" s="793"/>
      <c r="L153" s="753"/>
      <c r="M153" s="770"/>
      <c r="N153" s="758"/>
      <c r="O153" s="758"/>
      <c r="P153" s="775"/>
      <c r="Q153" s="758"/>
      <c r="R153" s="758"/>
      <c r="S153" s="758"/>
      <c r="T153" s="758"/>
      <c r="U153" s="758"/>
      <c r="V153" s="758"/>
      <c r="W153" s="758"/>
      <c r="X153" s="758"/>
      <c r="Y153" s="758"/>
      <c r="Z153" s="758"/>
      <c r="AA153" s="758"/>
      <c r="AB153" s="758"/>
      <c r="AC153" s="758"/>
      <c r="AD153" s="758"/>
      <c r="AE153" s="758"/>
      <c r="AF153" s="758"/>
      <c r="AG153" s="758"/>
      <c r="AH153" s="758"/>
      <c r="AI153" s="758"/>
      <c r="AJ153" s="758"/>
      <c r="AK153" s="758"/>
      <c r="AL153" s="758"/>
      <c r="AM153" s="758"/>
      <c r="AN153" s="758"/>
      <c r="AO153" s="758"/>
      <c r="CI153" s="753"/>
      <c r="CJ153" s="753"/>
      <c r="CK153" s="753"/>
      <c r="CL153" s="753"/>
      <c r="CM153" s="753"/>
      <c r="CN153" s="753"/>
      <c r="CO153" s="753"/>
      <c r="CP153" s="753"/>
      <c r="CQ153" s="753"/>
      <c r="CR153" s="753"/>
      <c r="CS153" s="753"/>
      <c r="CT153" s="753"/>
      <c r="CU153" s="753"/>
      <c r="CV153" s="753"/>
      <c r="CW153" s="753"/>
      <c r="CX153" s="753"/>
      <c r="CY153" s="753"/>
      <c r="CZ153" s="753"/>
      <c r="DA153" s="753"/>
      <c r="DB153" s="753"/>
      <c r="DC153" s="753"/>
      <c r="DD153" s="753"/>
      <c r="DE153" s="753"/>
      <c r="DF153" s="753"/>
      <c r="DG153" s="753"/>
      <c r="DH153" s="776"/>
      <c r="DI153" s="758"/>
    </row>
    <row r="154" spans="1:113">
      <c r="A154" s="780"/>
      <c r="B154" s="780"/>
      <c r="C154" s="780"/>
      <c r="D154" s="780"/>
      <c r="E154" s="780"/>
      <c r="F154" s="780"/>
      <c r="G154" s="780"/>
      <c r="H154" s="780"/>
      <c r="I154" s="780"/>
      <c r="J154" s="753"/>
      <c r="K154" s="753"/>
      <c r="L154" s="753"/>
      <c r="M154" s="770"/>
      <c r="N154" s="758"/>
      <c r="O154" s="758"/>
      <c r="P154" s="775"/>
      <c r="Q154" s="758"/>
      <c r="R154" s="758"/>
      <c r="S154" s="758"/>
      <c r="T154" s="758"/>
      <c r="U154" s="758"/>
      <c r="V154" s="758"/>
      <c r="W154" s="758"/>
      <c r="X154" s="758"/>
      <c r="Y154" s="758"/>
      <c r="Z154" s="758"/>
      <c r="AA154" s="758"/>
      <c r="AB154" s="758"/>
      <c r="AC154" s="758"/>
      <c r="AD154" s="758"/>
      <c r="AE154" s="758"/>
      <c r="AF154" s="758"/>
      <c r="AG154" s="758"/>
      <c r="AH154" s="758"/>
      <c r="AI154" s="758"/>
      <c r="AJ154" s="758"/>
      <c r="AK154" s="758"/>
      <c r="AL154" s="758"/>
      <c r="AM154" s="758"/>
      <c r="AN154" s="758"/>
      <c r="AO154" s="758"/>
      <c r="CI154" s="753"/>
      <c r="CJ154" s="753"/>
      <c r="CK154" s="753"/>
      <c r="CL154" s="753"/>
      <c r="CM154" s="753"/>
      <c r="CN154" s="753"/>
      <c r="CO154" s="753"/>
      <c r="CP154" s="753"/>
      <c r="CQ154" s="753"/>
      <c r="CR154" s="753"/>
      <c r="CS154" s="753"/>
      <c r="CT154" s="753"/>
      <c r="CU154" s="753"/>
      <c r="CV154" s="753"/>
      <c r="CW154" s="753"/>
      <c r="CX154" s="753"/>
      <c r="CY154" s="753"/>
      <c r="CZ154" s="753"/>
      <c r="DA154" s="753"/>
      <c r="DB154" s="753"/>
      <c r="DC154" s="753"/>
      <c r="DD154" s="753"/>
      <c r="DE154" s="753"/>
      <c r="DF154" s="753"/>
      <c r="DG154" s="753"/>
      <c r="DH154" s="776"/>
      <c r="DI154" s="758"/>
    </row>
    <row r="155" spans="1:113">
      <c r="A155" s="780"/>
      <c r="B155" s="780"/>
      <c r="C155" s="780"/>
      <c r="D155" s="780"/>
      <c r="E155" s="780"/>
      <c r="F155" s="780"/>
      <c r="G155" s="780"/>
      <c r="H155" s="780"/>
      <c r="I155" s="780"/>
      <c r="J155" s="753"/>
      <c r="K155" s="753"/>
      <c r="L155" s="753"/>
      <c r="M155" s="770"/>
      <c r="N155" s="758"/>
      <c r="O155" s="758"/>
      <c r="P155" s="775"/>
      <c r="Q155" s="758"/>
      <c r="R155" s="758"/>
      <c r="S155" s="758"/>
      <c r="T155" s="758"/>
      <c r="U155" s="758"/>
      <c r="V155" s="758"/>
      <c r="W155" s="758"/>
      <c r="X155" s="758"/>
      <c r="Y155" s="758"/>
      <c r="Z155" s="758"/>
      <c r="AA155" s="758"/>
      <c r="AB155" s="758"/>
      <c r="AC155" s="758"/>
      <c r="AD155" s="758"/>
      <c r="AE155" s="758"/>
      <c r="AF155" s="758"/>
      <c r="AG155" s="758"/>
      <c r="AH155" s="758"/>
      <c r="AI155" s="758"/>
      <c r="AJ155" s="758"/>
      <c r="AK155" s="758"/>
      <c r="AL155" s="758"/>
      <c r="AM155" s="758"/>
      <c r="AN155" s="758"/>
      <c r="AO155" s="758"/>
      <c r="CI155" s="753"/>
      <c r="CJ155" s="753"/>
      <c r="CK155" s="753"/>
      <c r="CL155" s="753"/>
      <c r="CM155" s="753"/>
      <c r="CN155" s="753"/>
      <c r="CO155" s="753"/>
      <c r="CP155" s="753"/>
      <c r="CQ155" s="753"/>
      <c r="CR155" s="753"/>
      <c r="CS155" s="753"/>
      <c r="CT155" s="753"/>
      <c r="CU155" s="753"/>
      <c r="CV155" s="753"/>
      <c r="CW155" s="753"/>
      <c r="CX155" s="753"/>
      <c r="CY155" s="753"/>
      <c r="CZ155" s="753"/>
      <c r="DA155" s="753"/>
      <c r="DB155" s="753"/>
      <c r="DC155" s="753"/>
      <c r="DD155" s="753"/>
      <c r="DE155" s="753"/>
      <c r="DF155" s="753"/>
      <c r="DG155" s="753"/>
      <c r="DH155" s="776"/>
      <c r="DI155" s="758"/>
    </row>
    <row r="156" spans="1:113">
      <c r="A156" s="780"/>
      <c r="B156" s="780"/>
      <c r="C156" s="780"/>
      <c r="D156" s="780"/>
      <c r="E156" s="780"/>
      <c r="F156" s="780"/>
      <c r="G156" s="780"/>
      <c r="H156" s="780"/>
      <c r="I156" s="780"/>
      <c r="J156" s="753"/>
      <c r="K156" s="753"/>
      <c r="L156" s="753"/>
      <c r="M156" s="770"/>
      <c r="N156" s="758"/>
      <c r="O156" s="758"/>
      <c r="P156" s="775"/>
      <c r="Q156" s="758"/>
      <c r="R156" s="758"/>
      <c r="S156" s="758"/>
      <c r="T156" s="758"/>
      <c r="U156" s="758"/>
      <c r="V156" s="758"/>
      <c r="W156" s="758"/>
      <c r="X156" s="758"/>
      <c r="Y156" s="758"/>
      <c r="Z156" s="758"/>
      <c r="AA156" s="758"/>
      <c r="AB156" s="758"/>
      <c r="AC156" s="758"/>
      <c r="AD156" s="758"/>
      <c r="AE156" s="758"/>
      <c r="AF156" s="758"/>
      <c r="AG156" s="758"/>
      <c r="AH156" s="758"/>
      <c r="AI156" s="758"/>
      <c r="AJ156" s="758"/>
      <c r="AK156" s="758"/>
      <c r="AL156" s="758"/>
      <c r="AM156" s="758"/>
      <c r="AN156" s="758"/>
      <c r="AO156" s="758"/>
      <c r="CI156" s="753"/>
      <c r="CJ156" s="753"/>
      <c r="CK156" s="753"/>
      <c r="CL156" s="753"/>
      <c r="CM156" s="753"/>
      <c r="CN156" s="753"/>
      <c r="CO156" s="753"/>
      <c r="CP156" s="753"/>
      <c r="CQ156" s="753"/>
      <c r="CR156" s="753"/>
      <c r="CS156" s="753"/>
      <c r="CT156" s="753"/>
      <c r="CU156" s="753"/>
      <c r="CV156" s="753"/>
      <c r="CW156" s="753"/>
      <c r="CX156" s="753"/>
      <c r="CY156" s="753"/>
      <c r="CZ156" s="753"/>
      <c r="DA156" s="753"/>
      <c r="DB156" s="753"/>
      <c r="DC156" s="753"/>
      <c r="DD156" s="753"/>
      <c r="DE156" s="753"/>
      <c r="DF156" s="753"/>
      <c r="DG156" s="753"/>
      <c r="DH156" s="776"/>
      <c r="DI156" s="758"/>
    </row>
    <row r="157" spans="1:113">
      <c r="A157" s="780"/>
      <c r="B157" s="780"/>
      <c r="C157" s="780"/>
      <c r="D157" s="780"/>
      <c r="E157" s="780"/>
      <c r="F157" s="780"/>
      <c r="G157" s="780"/>
      <c r="H157" s="780"/>
      <c r="I157" s="780"/>
      <c r="J157" s="753"/>
      <c r="K157" s="753"/>
      <c r="L157" s="753"/>
      <c r="M157" s="770"/>
      <c r="N157" s="758"/>
      <c r="O157" s="758"/>
      <c r="P157" s="775"/>
      <c r="Q157" s="758"/>
      <c r="R157" s="758"/>
      <c r="S157" s="758"/>
      <c r="T157" s="758"/>
      <c r="U157" s="758"/>
      <c r="V157" s="758"/>
      <c r="W157" s="758"/>
      <c r="X157" s="758"/>
      <c r="Y157" s="758"/>
      <c r="Z157" s="758"/>
      <c r="AA157" s="758"/>
      <c r="AB157" s="758"/>
      <c r="AC157" s="758"/>
      <c r="AD157" s="758"/>
      <c r="AE157" s="758"/>
      <c r="AF157" s="758"/>
      <c r="AG157" s="758"/>
      <c r="AH157" s="758"/>
      <c r="AI157" s="758"/>
      <c r="AJ157" s="758"/>
      <c r="AK157" s="758"/>
      <c r="AL157" s="758"/>
      <c r="AM157" s="758"/>
      <c r="AN157" s="758"/>
      <c r="AO157" s="758"/>
      <c r="CI157" s="753"/>
      <c r="CJ157" s="753"/>
      <c r="CK157" s="753"/>
      <c r="CL157" s="753"/>
      <c r="CM157" s="753"/>
      <c r="CN157" s="753"/>
      <c r="CO157" s="753"/>
      <c r="CP157" s="753"/>
      <c r="CQ157" s="753"/>
      <c r="CR157" s="753"/>
      <c r="CS157" s="753"/>
      <c r="CT157" s="753"/>
      <c r="CU157" s="753"/>
      <c r="CV157" s="753"/>
      <c r="CW157" s="753"/>
      <c r="CX157" s="753"/>
      <c r="CY157" s="753"/>
      <c r="CZ157" s="753"/>
      <c r="DA157" s="753"/>
      <c r="DB157" s="753"/>
      <c r="DC157" s="753"/>
      <c r="DD157" s="753"/>
      <c r="DE157" s="753"/>
      <c r="DF157" s="753"/>
      <c r="DG157" s="753"/>
      <c r="DH157" s="776"/>
      <c r="DI157" s="758"/>
    </row>
    <row r="158" spans="1:113">
      <c r="A158" s="780"/>
      <c r="B158" s="780"/>
      <c r="C158" s="780"/>
      <c r="D158" s="780"/>
      <c r="E158" s="780"/>
      <c r="F158" s="780"/>
      <c r="G158" s="780"/>
      <c r="H158" s="780"/>
      <c r="I158" s="780"/>
      <c r="J158" s="753"/>
      <c r="K158" s="753"/>
      <c r="L158" s="753"/>
      <c r="M158" s="770"/>
      <c r="N158" s="758"/>
      <c r="O158" s="758"/>
      <c r="P158" s="775"/>
      <c r="Q158" s="758"/>
      <c r="R158" s="758"/>
      <c r="S158" s="758"/>
      <c r="T158" s="758"/>
      <c r="U158" s="758"/>
      <c r="V158" s="758"/>
      <c r="W158" s="758"/>
      <c r="X158" s="758"/>
      <c r="Y158" s="758"/>
      <c r="Z158" s="758"/>
      <c r="AA158" s="758"/>
      <c r="AB158" s="758"/>
      <c r="AC158" s="758"/>
      <c r="AD158" s="758"/>
      <c r="AE158" s="758"/>
      <c r="AF158" s="758"/>
      <c r="AG158" s="758"/>
      <c r="AH158" s="758"/>
      <c r="AI158" s="758"/>
      <c r="AJ158" s="758"/>
      <c r="AK158" s="758"/>
      <c r="AL158" s="758"/>
      <c r="AM158" s="758"/>
      <c r="AN158" s="758"/>
      <c r="AO158" s="758"/>
      <c r="CI158" s="753"/>
      <c r="CJ158" s="753"/>
      <c r="CK158" s="753"/>
      <c r="CL158" s="753"/>
      <c r="CM158" s="753"/>
      <c r="CN158" s="753"/>
      <c r="CO158" s="753"/>
      <c r="CP158" s="753"/>
      <c r="CQ158" s="753"/>
      <c r="CR158" s="753"/>
      <c r="CS158" s="753"/>
      <c r="CT158" s="753"/>
      <c r="CU158" s="753"/>
      <c r="CV158" s="753"/>
      <c r="CW158" s="753"/>
      <c r="CX158" s="753"/>
      <c r="CY158" s="753"/>
      <c r="CZ158" s="753"/>
      <c r="DA158" s="753"/>
      <c r="DB158" s="753"/>
      <c r="DC158" s="753"/>
      <c r="DD158" s="753"/>
      <c r="DE158" s="753"/>
      <c r="DF158" s="753"/>
      <c r="DG158" s="753"/>
      <c r="DH158" s="776"/>
      <c r="DI158" s="758"/>
    </row>
    <row r="159" spans="1:113">
      <c r="A159" s="780"/>
      <c r="B159" s="780"/>
      <c r="C159" s="780"/>
      <c r="D159" s="780"/>
      <c r="E159" s="780"/>
      <c r="F159" s="780"/>
      <c r="G159" s="780"/>
      <c r="H159" s="780"/>
      <c r="I159" s="780"/>
      <c r="J159" s="753"/>
      <c r="K159" s="753"/>
      <c r="L159" s="753"/>
      <c r="M159" s="767"/>
      <c r="N159" s="807"/>
      <c r="O159" s="775"/>
      <c r="P159" s="775"/>
      <c r="Q159" s="758"/>
      <c r="R159" s="758"/>
      <c r="S159" s="758"/>
      <c r="T159" s="758"/>
      <c r="U159" s="758"/>
      <c r="V159" s="758"/>
      <c r="W159" s="758"/>
      <c r="X159" s="758"/>
      <c r="Y159" s="758"/>
      <c r="Z159" s="758"/>
      <c r="AA159" s="758"/>
      <c r="AB159" s="758"/>
      <c r="AC159" s="758"/>
      <c r="AD159" s="758"/>
      <c r="AE159" s="758"/>
      <c r="AF159" s="758"/>
      <c r="AG159" s="758"/>
      <c r="AH159" s="758"/>
      <c r="AI159" s="758"/>
      <c r="AJ159" s="758"/>
      <c r="AK159" s="758"/>
      <c r="AL159" s="758"/>
      <c r="AM159" s="758"/>
      <c r="AN159" s="758"/>
      <c r="AO159" s="758"/>
      <c r="CI159" s="753"/>
      <c r="CJ159" s="753"/>
      <c r="CK159" s="753"/>
      <c r="CL159" s="753"/>
      <c r="CM159" s="753"/>
      <c r="CN159" s="753"/>
      <c r="CO159" s="753"/>
      <c r="CP159" s="753"/>
      <c r="CQ159" s="753"/>
      <c r="CR159" s="753"/>
      <c r="CS159" s="753"/>
      <c r="CT159" s="753"/>
      <c r="CU159" s="753"/>
      <c r="CV159" s="753"/>
      <c r="CW159" s="753"/>
      <c r="CX159" s="753"/>
      <c r="CY159" s="753"/>
      <c r="CZ159" s="753"/>
      <c r="DA159" s="753"/>
      <c r="DB159" s="753"/>
      <c r="DC159" s="753"/>
      <c r="DD159" s="753"/>
      <c r="DE159" s="753"/>
      <c r="DF159" s="753"/>
      <c r="DG159" s="753"/>
      <c r="DH159" s="776"/>
      <c r="DI159" s="758"/>
    </row>
    <row r="160" spans="1:113">
      <c r="A160" s="780"/>
      <c r="B160" s="780"/>
      <c r="C160" s="780"/>
      <c r="D160" s="780"/>
      <c r="E160" s="780"/>
      <c r="F160" s="780"/>
      <c r="G160" s="780"/>
      <c r="H160" s="780"/>
      <c r="I160" s="780"/>
      <c r="J160" s="753"/>
      <c r="K160" s="753"/>
      <c r="L160" s="753"/>
      <c r="M160" s="767"/>
      <c r="N160" s="807"/>
      <c r="O160" s="775"/>
      <c r="P160" s="775"/>
      <c r="Q160" s="758"/>
      <c r="R160" s="758"/>
      <c r="S160" s="758"/>
      <c r="T160" s="758"/>
      <c r="U160" s="758"/>
      <c r="V160" s="758"/>
      <c r="W160" s="758"/>
      <c r="X160" s="758"/>
      <c r="Y160" s="758"/>
      <c r="Z160" s="758"/>
      <c r="AA160" s="758"/>
      <c r="AB160" s="758"/>
      <c r="AC160" s="758"/>
      <c r="AD160" s="758"/>
      <c r="AE160" s="758"/>
      <c r="AF160" s="758"/>
      <c r="AG160" s="758"/>
      <c r="AH160" s="758"/>
      <c r="AI160" s="758"/>
      <c r="AJ160" s="758"/>
      <c r="AK160" s="758"/>
      <c r="AL160" s="758"/>
      <c r="AM160" s="758"/>
      <c r="AN160" s="758"/>
      <c r="AO160" s="758"/>
      <c r="CI160" s="753"/>
      <c r="CJ160" s="753"/>
      <c r="CK160" s="753"/>
      <c r="CL160" s="753"/>
      <c r="CM160" s="753"/>
      <c r="CN160" s="753"/>
      <c r="CO160" s="753"/>
      <c r="CP160" s="753"/>
      <c r="CQ160" s="753"/>
      <c r="CR160" s="753"/>
      <c r="CS160" s="753"/>
      <c r="CT160" s="753"/>
      <c r="CU160" s="753"/>
      <c r="CV160" s="753"/>
      <c r="CW160" s="753"/>
      <c r="CX160" s="753"/>
      <c r="CY160" s="753"/>
      <c r="CZ160" s="753"/>
      <c r="DA160" s="753"/>
      <c r="DB160" s="753"/>
      <c r="DC160" s="753"/>
      <c r="DD160" s="753"/>
      <c r="DE160" s="753"/>
      <c r="DF160" s="753"/>
      <c r="DG160" s="753"/>
      <c r="DH160" s="776"/>
      <c r="DI160" s="758"/>
    </row>
    <row r="161" spans="1:113">
      <c r="A161" s="780"/>
      <c r="B161" s="780"/>
      <c r="C161" s="780"/>
      <c r="D161" s="780"/>
      <c r="E161" s="780"/>
      <c r="F161" s="780"/>
      <c r="G161" s="780"/>
      <c r="H161" s="780"/>
      <c r="I161" s="780"/>
      <c r="J161" s="753"/>
      <c r="K161" s="753"/>
      <c r="L161" s="753"/>
      <c r="M161" s="767"/>
      <c r="N161" s="807"/>
      <c r="O161" s="775"/>
      <c r="P161" s="775"/>
      <c r="Q161" s="758"/>
      <c r="R161" s="758"/>
      <c r="S161" s="758"/>
      <c r="T161" s="758"/>
      <c r="U161" s="758"/>
      <c r="V161" s="758"/>
      <c r="W161" s="758"/>
      <c r="X161" s="758"/>
      <c r="Y161" s="758"/>
      <c r="Z161" s="758"/>
      <c r="AA161" s="758"/>
      <c r="AB161" s="758"/>
      <c r="AC161" s="758"/>
      <c r="AD161" s="758"/>
      <c r="AE161" s="758"/>
      <c r="AF161" s="758"/>
      <c r="AG161" s="758"/>
      <c r="AH161" s="758"/>
      <c r="AI161" s="758"/>
      <c r="AJ161" s="758"/>
      <c r="AK161" s="758"/>
      <c r="AL161" s="758"/>
      <c r="AM161" s="758"/>
      <c r="AN161" s="758"/>
      <c r="AO161" s="758"/>
      <c r="CI161" s="753"/>
      <c r="CJ161" s="753"/>
      <c r="CK161" s="753"/>
      <c r="CL161" s="753"/>
      <c r="CM161" s="753"/>
      <c r="CN161" s="753"/>
      <c r="CO161" s="753"/>
      <c r="CP161" s="753"/>
      <c r="CQ161" s="753"/>
      <c r="CR161" s="753"/>
      <c r="CS161" s="753"/>
      <c r="CT161" s="753"/>
      <c r="CU161" s="753"/>
      <c r="CV161" s="753"/>
      <c r="CW161" s="753"/>
      <c r="CX161" s="753"/>
      <c r="CY161" s="753"/>
      <c r="CZ161" s="753"/>
      <c r="DA161" s="753"/>
      <c r="DB161" s="753"/>
      <c r="DC161" s="753"/>
      <c r="DD161" s="753"/>
      <c r="DE161" s="753"/>
      <c r="DF161" s="753"/>
      <c r="DG161" s="753"/>
      <c r="DH161" s="776"/>
      <c r="DI161" s="758"/>
    </row>
    <row r="162" spans="1:113">
      <c r="A162" s="780"/>
      <c r="B162" s="780"/>
      <c r="C162" s="780"/>
      <c r="D162" s="780"/>
      <c r="E162" s="780"/>
      <c r="F162" s="780"/>
      <c r="G162" s="780"/>
      <c r="H162" s="788"/>
      <c r="I162" s="789"/>
      <c r="J162" s="753"/>
      <c r="K162" s="753"/>
      <c r="L162" s="753"/>
      <c r="M162" s="767"/>
      <c r="N162" s="807"/>
      <c r="O162" s="775"/>
      <c r="P162" s="775"/>
      <c r="Q162" s="758"/>
      <c r="R162" s="758"/>
      <c r="S162" s="758"/>
      <c r="T162" s="758"/>
      <c r="U162" s="758"/>
      <c r="V162" s="758"/>
      <c r="W162" s="758"/>
      <c r="X162" s="758"/>
      <c r="Y162" s="758"/>
      <c r="Z162" s="758"/>
      <c r="AA162" s="758"/>
      <c r="AB162" s="758"/>
      <c r="AC162" s="758"/>
      <c r="AD162" s="758"/>
      <c r="AE162" s="758"/>
      <c r="AF162" s="758"/>
      <c r="AG162" s="758"/>
      <c r="AH162" s="758"/>
      <c r="AI162" s="758"/>
      <c r="AJ162" s="758"/>
      <c r="AK162" s="758"/>
      <c r="AL162" s="758"/>
      <c r="AM162" s="758"/>
      <c r="AN162" s="758"/>
      <c r="AO162" s="758"/>
      <c r="CI162" s="753"/>
      <c r="CJ162" s="753"/>
      <c r="CK162" s="753"/>
      <c r="CL162" s="753"/>
      <c r="CM162" s="753"/>
      <c r="CN162" s="753"/>
      <c r="CO162" s="753"/>
      <c r="CP162" s="753"/>
      <c r="CQ162" s="753"/>
      <c r="CR162" s="753"/>
      <c r="CS162" s="753"/>
      <c r="CT162" s="753"/>
      <c r="CU162" s="753"/>
      <c r="CV162" s="753"/>
      <c r="CW162" s="753"/>
      <c r="CX162" s="753"/>
      <c r="CY162" s="753"/>
      <c r="CZ162" s="753"/>
      <c r="DA162" s="753"/>
      <c r="DB162" s="753"/>
      <c r="DC162" s="753"/>
      <c r="DD162" s="753"/>
      <c r="DE162" s="753"/>
      <c r="DF162" s="753"/>
      <c r="DG162" s="753"/>
      <c r="DH162" s="776"/>
      <c r="DI162" s="758"/>
    </row>
    <row r="163" spans="1:113">
      <c r="A163" s="780"/>
      <c r="B163" s="780"/>
      <c r="C163" s="780"/>
      <c r="D163" s="780"/>
      <c r="E163" s="780"/>
      <c r="F163" s="780"/>
      <c r="G163" s="780"/>
      <c r="H163" s="788"/>
      <c r="I163" s="790"/>
      <c r="J163" s="753"/>
      <c r="K163" s="753"/>
      <c r="L163" s="753"/>
      <c r="M163" s="782"/>
      <c r="N163" s="807"/>
      <c r="O163" s="758"/>
      <c r="P163" s="783"/>
      <c r="Q163" s="758"/>
      <c r="R163" s="758"/>
      <c r="S163" s="758"/>
      <c r="T163" s="758"/>
      <c r="U163" s="758"/>
      <c r="V163" s="758"/>
      <c r="W163" s="758"/>
      <c r="X163" s="758"/>
      <c r="Y163" s="758"/>
      <c r="Z163" s="758"/>
      <c r="AA163" s="758"/>
      <c r="AB163" s="758"/>
      <c r="AC163" s="758"/>
      <c r="AD163" s="758"/>
      <c r="AE163" s="758"/>
      <c r="AF163" s="758"/>
      <c r="AG163" s="758"/>
      <c r="AH163" s="758"/>
      <c r="AI163" s="758"/>
      <c r="AJ163" s="758"/>
      <c r="AK163" s="758"/>
      <c r="AL163" s="758"/>
      <c r="AM163" s="758"/>
      <c r="AN163" s="758"/>
      <c r="AO163" s="758"/>
      <c r="CI163" s="753"/>
      <c r="CJ163" s="753"/>
      <c r="CK163" s="753"/>
      <c r="CL163" s="753"/>
      <c r="CM163" s="753"/>
      <c r="CN163" s="753"/>
      <c r="CO163" s="753"/>
      <c r="CP163" s="753"/>
      <c r="CQ163" s="753"/>
      <c r="CR163" s="753"/>
      <c r="CS163" s="753"/>
      <c r="CT163" s="753"/>
      <c r="CU163" s="753"/>
      <c r="CV163" s="753"/>
      <c r="CW163" s="753"/>
      <c r="CX163" s="753"/>
      <c r="CY163" s="753"/>
      <c r="CZ163" s="753"/>
      <c r="DA163" s="753"/>
      <c r="DB163" s="753"/>
      <c r="DC163" s="753"/>
      <c r="DD163" s="753"/>
      <c r="DE163" s="753"/>
      <c r="DF163" s="753"/>
      <c r="DG163" s="753"/>
      <c r="DH163" s="776"/>
      <c r="DI163" s="758"/>
    </row>
    <row r="164" spans="1:113">
      <c r="A164" s="780"/>
      <c r="B164" s="780"/>
      <c r="C164" s="780"/>
      <c r="D164" s="780"/>
      <c r="E164" s="780"/>
      <c r="F164" s="780"/>
      <c r="G164" s="780"/>
      <c r="H164" s="788"/>
      <c r="I164" s="769"/>
      <c r="J164" s="753"/>
      <c r="K164" s="753"/>
      <c r="L164" s="753"/>
      <c r="M164" s="767"/>
      <c r="N164" s="778"/>
      <c r="O164" s="775"/>
      <c r="P164" s="775"/>
      <c r="Q164" s="758"/>
      <c r="R164" s="758"/>
      <c r="S164" s="758"/>
      <c r="T164" s="758"/>
      <c r="U164" s="758"/>
      <c r="V164" s="758"/>
      <c r="W164" s="758"/>
      <c r="X164" s="758"/>
      <c r="Y164" s="758"/>
      <c r="Z164" s="758"/>
      <c r="AA164" s="758"/>
      <c r="AB164" s="758"/>
      <c r="AC164" s="758"/>
      <c r="AD164" s="758"/>
      <c r="AE164" s="758"/>
      <c r="AF164" s="758"/>
      <c r="AG164" s="758"/>
      <c r="AH164" s="758"/>
      <c r="AI164" s="758"/>
      <c r="AJ164" s="758"/>
      <c r="AK164" s="758"/>
      <c r="AL164" s="758"/>
      <c r="AM164" s="758"/>
      <c r="AN164" s="758"/>
      <c r="AO164" s="758"/>
      <c r="CI164" s="753"/>
      <c r="CJ164" s="753"/>
      <c r="CK164" s="753"/>
      <c r="CL164" s="753"/>
      <c r="CM164" s="753"/>
      <c r="CN164" s="753"/>
      <c r="CO164" s="753"/>
      <c r="CP164" s="753"/>
      <c r="CQ164" s="753"/>
      <c r="CR164" s="753"/>
      <c r="CS164" s="753"/>
      <c r="CT164" s="753"/>
      <c r="CU164" s="753"/>
      <c r="CV164" s="753"/>
      <c r="CW164" s="753"/>
      <c r="CX164" s="753"/>
      <c r="CY164" s="753"/>
      <c r="CZ164" s="753"/>
      <c r="DA164" s="753"/>
      <c r="DB164" s="753"/>
      <c r="DC164" s="753"/>
      <c r="DD164" s="753"/>
      <c r="DE164" s="753"/>
      <c r="DF164" s="753"/>
      <c r="DG164" s="753"/>
      <c r="DH164" s="776"/>
      <c r="DI164" s="758"/>
    </row>
    <row r="165" spans="1:113">
      <c r="A165" s="792"/>
      <c r="B165" s="780"/>
      <c r="C165" s="780"/>
      <c r="D165" s="780"/>
      <c r="E165" s="780"/>
      <c r="F165" s="780"/>
      <c r="G165" s="780"/>
      <c r="H165" s="788"/>
      <c r="I165" s="791"/>
      <c r="J165" s="753"/>
      <c r="K165" s="753"/>
      <c r="L165" s="753"/>
      <c r="M165" s="767"/>
      <c r="N165" s="778"/>
      <c r="O165" s="775"/>
      <c r="P165" s="775"/>
      <c r="Q165" s="758"/>
      <c r="R165" s="758"/>
      <c r="S165" s="758"/>
      <c r="T165" s="758"/>
      <c r="U165" s="758"/>
      <c r="V165" s="758"/>
      <c r="W165" s="758"/>
      <c r="X165" s="758"/>
      <c r="Y165" s="758"/>
      <c r="Z165" s="758"/>
      <c r="AA165" s="758"/>
      <c r="AB165" s="758"/>
      <c r="AC165" s="758"/>
      <c r="AD165" s="758"/>
      <c r="AE165" s="758"/>
      <c r="AF165" s="758"/>
      <c r="AG165" s="758"/>
      <c r="AH165" s="758"/>
      <c r="AI165" s="758"/>
      <c r="AJ165" s="758"/>
      <c r="AK165" s="758"/>
      <c r="AL165" s="758"/>
      <c r="AM165" s="758"/>
      <c r="AN165" s="758"/>
      <c r="AO165" s="758"/>
      <c r="CI165" s="753"/>
      <c r="CJ165" s="753"/>
      <c r="CK165" s="753"/>
      <c r="CL165" s="753"/>
      <c r="CM165" s="753"/>
      <c r="CN165" s="753"/>
      <c r="CO165" s="753"/>
      <c r="CP165" s="753"/>
      <c r="CQ165" s="753"/>
      <c r="CR165" s="753"/>
      <c r="CS165" s="753"/>
      <c r="CT165" s="753"/>
      <c r="CU165" s="753"/>
      <c r="CV165" s="753"/>
      <c r="CW165" s="753"/>
      <c r="CX165" s="753"/>
      <c r="CY165" s="753"/>
      <c r="CZ165" s="753"/>
      <c r="DA165" s="753"/>
      <c r="DB165" s="753"/>
      <c r="DC165" s="753"/>
      <c r="DD165" s="753"/>
      <c r="DE165" s="753"/>
      <c r="DF165" s="753"/>
      <c r="DG165" s="753"/>
      <c r="DH165" s="776"/>
      <c r="DI165" s="758"/>
    </row>
    <row r="166" spans="1:113" ht="15.75">
      <c r="A166" s="794"/>
      <c r="B166" s="780"/>
      <c r="C166" s="780"/>
      <c r="D166" s="780"/>
      <c r="E166" s="780"/>
      <c r="F166" s="780"/>
      <c r="G166" s="780"/>
      <c r="H166" s="784"/>
      <c r="I166" s="785"/>
      <c r="J166" s="753"/>
      <c r="K166" s="753"/>
      <c r="L166" s="811"/>
      <c r="M166" s="767"/>
      <c r="N166" s="807"/>
      <c r="O166" s="775"/>
      <c r="P166" s="775"/>
      <c r="Q166" s="758"/>
      <c r="R166" s="758"/>
      <c r="S166" s="758"/>
      <c r="T166" s="758"/>
      <c r="U166" s="758"/>
      <c r="V166" s="758"/>
      <c r="W166" s="758"/>
      <c r="X166" s="758"/>
      <c r="Y166" s="758"/>
      <c r="Z166" s="758"/>
      <c r="AA166" s="758"/>
      <c r="AB166" s="758"/>
      <c r="AC166" s="758"/>
      <c r="AD166" s="758"/>
      <c r="AE166" s="758"/>
      <c r="AF166" s="758"/>
      <c r="AG166" s="758"/>
      <c r="AH166" s="758"/>
      <c r="AI166" s="758"/>
      <c r="AJ166" s="758"/>
      <c r="AK166" s="758"/>
      <c r="AL166" s="758"/>
      <c r="AM166" s="758"/>
      <c r="AN166" s="758"/>
      <c r="AO166" s="758"/>
      <c r="CI166" s="753"/>
      <c r="CJ166" s="753"/>
      <c r="CK166" s="753"/>
      <c r="CL166" s="753"/>
      <c r="CM166" s="753"/>
      <c r="CN166" s="753"/>
      <c r="CO166" s="753"/>
      <c r="CP166" s="753"/>
      <c r="CQ166" s="753"/>
      <c r="CR166" s="753"/>
      <c r="CS166" s="753"/>
      <c r="CT166" s="753"/>
      <c r="CU166" s="753"/>
      <c r="CV166" s="753"/>
      <c r="CW166" s="753"/>
      <c r="CX166" s="753"/>
      <c r="CY166" s="753"/>
      <c r="CZ166" s="753"/>
      <c r="DA166" s="753"/>
      <c r="DB166" s="753"/>
      <c r="DC166" s="753"/>
      <c r="DD166" s="753"/>
      <c r="DE166" s="753"/>
      <c r="DF166" s="753"/>
      <c r="DG166" s="753"/>
      <c r="DH166" s="776"/>
      <c r="DI166" s="758"/>
    </row>
    <row r="167" spans="1:113" ht="15.75">
      <c r="A167" s="794"/>
      <c r="B167" s="780"/>
      <c r="C167" s="780"/>
      <c r="D167" s="780"/>
      <c r="E167" s="780"/>
      <c r="F167" s="780"/>
      <c r="G167" s="773"/>
      <c r="H167" s="780"/>
      <c r="I167" s="764"/>
      <c r="J167" s="753"/>
      <c r="K167" s="753"/>
      <c r="L167" s="753"/>
      <c r="M167" s="767"/>
      <c r="N167" s="807"/>
      <c r="O167" s="775"/>
      <c r="P167" s="775"/>
      <c r="Q167" s="758"/>
      <c r="R167" s="758"/>
      <c r="S167" s="758"/>
      <c r="T167" s="758"/>
      <c r="U167" s="758"/>
      <c r="V167" s="758"/>
      <c r="W167" s="758"/>
      <c r="X167" s="758"/>
      <c r="Y167" s="758"/>
      <c r="Z167" s="758"/>
      <c r="AA167" s="758"/>
      <c r="AB167" s="758"/>
      <c r="AC167" s="758"/>
      <c r="AD167" s="758"/>
      <c r="AE167" s="758"/>
      <c r="AF167" s="758"/>
      <c r="AG167" s="758"/>
      <c r="AH167" s="758"/>
      <c r="AI167" s="758"/>
      <c r="AJ167" s="758"/>
      <c r="AK167" s="758"/>
      <c r="AL167" s="758"/>
      <c r="AM167" s="758"/>
      <c r="AN167" s="758"/>
      <c r="AO167" s="758"/>
      <c r="CI167" s="753"/>
      <c r="CJ167" s="753"/>
      <c r="CK167" s="753"/>
      <c r="CL167" s="753"/>
      <c r="CM167" s="753"/>
      <c r="CN167" s="753"/>
      <c r="CO167" s="753"/>
      <c r="CP167" s="753"/>
      <c r="CQ167" s="753"/>
      <c r="CR167" s="753"/>
      <c r="CS167" s="753"/>
      <c r="CT167" s="753"/>
      <c r="CU167" s="753"/>
      <c r="CV167" s="753"/>
      <c r="CW167" s="753"/>
      <c r="CX167" s="753"/>
      <c r="CY167" s="753"/>
      <c r="CZ167" s="753"/>
      <c r="DA167" s="753"/>
      <c r="DB167" s="753"/>
      <c r="DC167" s="753"/>
      <c r="DD167" s="753"/>
      <c r="DE167" s="753"/>
      <c r="DF167" s="753"/>
      <c r="DG167" s="753"/>
      <c r="DH167" s="776"/>
      <c r="DI167" s="758"/>
    </row>
    <row r="168" spans="1:113">
      <c r="A168" s="780"/>
      <c r="B168" s="780"/>
      <c r="C168" s="780"/>
      <c r="D168" s="780"/>
      <c r="E168" s="780"/>
      <c r="F168" s="780"/>
      <c r="G168" s="773"/>
      <c r="H168" s="801"/>
      <c r="I168" s="773"/>
      <c r="J168" s="753"/>
      <c r="K168" s="753"/>
      <c r="L168" s="812"/>
      <c r="M168" s="767"/>
      <c r="N168" s="807"/>
      <c r="O168" s="775"/>
      <c r="P168" s="775"/>
      <c r="Q168" s="758"/>
      <c r="R168" s="758"/>
      <c r="S168" s="758"/>
      <c r="T168" s="758"/>
      <c r="U168" s="758"/>
      <c r="V168" s="758"/>
      <c r="W168" s="758"/>
      <c r="X168" s="758"/>
      <c r="Y168" s="758"/>
      <c r="Z168" s="758"/>
      <c r="AA168" s="758"/>
      <c r="AB168" s="758"/>
      <c r="AC168" s="758"/>
      <c r="AD168" s="758"/>
      <c r="AE168" s="758"/>
      <c r="AF168" s="758"/>
      <c r="AG168" s="758"/>
      <c r="AH168" s="758"/>
      <c r="AI168" s="758"/>
      <c r="AJ168" s="758"/>
      <c r="AK168" s="758"/>
      <c r="AL168" s="758"/>
      <c r="AM168" s="758"/>
      <c r="AN168" s="758"/>
      <c r="AO168" s="758"/>
      <c r="CI168" s="753"/>
      <c r="CJ168" s="753"/>
      <c r="CK168" s="753"/>
      <c r="CL168" s="753"/>
      <c r="CM168" s="753"/>
      <c r="CN168" s="753"/>
      <c r="CO168" s="753"/>
      <c r="CP168" s="753"/>
      <c r="CQ168" s="753"/>
      <c r="CR168" s="753"/>
      <c r="CS168" s="753"/>
      <c r="CT168" s="753"/>
      <c r="CU168" s="753"/>
      <c r="CV168" s="753"/>
      <c r="CW168" s="753"/>
      <c r="CX168" s="753"/>
      <c r="CY168" s="753"/>
      <c r="CZ168" s="753"/>
      <c r="DA168" s="753"/>
      <c r="DB168" s="753"/>
      <c r="DC168" s="753"/>
      <c r="DD168" s="753"/>
      <c r="DE168" s="753"/>
      <c r="DF168" s="753"/>
      <c r="DG168" s="753"/>
      <c r="DH168" s="776"/>
      <c r="DI168" s="758"/>
    </row>
    <row r="169" spans="1:113">
      <c r="A169" s="796"/>
      <c r="B169" s="774"/>
      <c r="C169" s="773"/>
      <c r="D169" s="804"/>
      <c r="E169" s="773"/>
      <c r="F169" s="773"/>
      <c r="G169" s="773"/>
      <c r="H169" s="797"/>
      <c r="I169" s="787"/>
      <c r="J169" s="753"/>
      <c r="K169" s="753"/>
      <c r="L169" s="767"/>
      <c r="M169" s="782"/>
      <c r="N169" s="807"/>
      <c r="O169" s="758"/>
      <c r="P169" s="783"/>
      <c r="Q169" s="758"/>
      <c r="R169" s="758"/>
      <c r="S169" s="758"/>
      <c r="T169" s="758"/>
      <c r="U169" s="758"/>
      <c r="V169" s="758"/>
      <c r="W169" s="758"/>
      <c r="X169" s="758"/>
      <c r="Y169" s="758"/>
      <c r="Z169" s="758"/>
      <c r="AA169" s="758"/>
      <c r="AB169" s="758"/>
      <c r="AC169" s="758"/>
      <c r="AD169" s="758"/>
      <c r="AE169" s="758"/>
      <c r="AF169" s="758"/>
      <c r="AG169" s="758"/>
      <c r="AH169" s="758"/>
      <c r="AI169" s="758"/>
      <c r="AJ169" s="758"/>
      <c r="AK169" s="758"/>
      <c r="AL169" s="758"/>
      <c r="AM169" s="758"/>
      <c r="AN169" s="758"/>
      <c r="AO169" s="758"/>
      <c r="CI169" s="753"/>
      <c r="CJ169" s="753"/>
      <c r="CK169" s="753"/>
      <c r="CL169" s="753"/>
      <c r="CM169" s="753"/>
      <c r="CN169" s="753"/>
      <c r="CO169" s="753"/>
      <c r="CP169" s="753"/>
      <c r="CQ169" s="753"/>
      <c r="CR169" s="753"/>
      <c r="CS169" s="753"/>
      <c r="CT169" s="753"/>
      <c r="CU169" s="753"/>
      <c r="CV169" s="753"/>
      <c r="CW169" s="753"/>
      <c r="CX169" s="753"/>
      <c r="CY169" s="753"/>
      <c r="CZ169" s="753"/>
      <c r="DA169" s="753"/>
      <c r="DB169" s="753"/>
      <c r="DC169" s="753"/>
      <c r="DD169" s="753"/>
      <c r="DE169" s="753"/>
      <c r="DF169" s="753"/>
      <c r="DG169" s="753"/>
      <c r="DH169" s="776"/>
      <c r="DI169" s="758"/>
    </row>
    <row r="170" spans="1:113">
      <c r="A170" s="798"/>
      <c r="B170" s="800"/>
      <c r="C170" s="773"/>
      <c r="D170" s="804"/>
      <c r="E170" s="773"/>
      <c r="F170" s="773"/>
      <c r="G170" s="773"/>
      <c r="H170" s="797"/>
      <c r="I170" s="787"/>
      <c r="J170" s="753"/>
      <c r="K170" s="753"/>
      <c r="L170" s="803"/>
      <c r="M170" s="782"/>
      <c r="N170" s="781"/>
      <c r="O170" s="758"/>
      <c r="P170" s="783"/>
      <c r="Q170" s="758"/>
      <c r="R170" s="758"/>
      <c r="S170" s="758"/>
      <c r="T170" s="758"/>
      <c r="U170" s="758"/>
      <c r="V170" s="758"/>
      <c r="W170" s="758"/>
      <c r="X170" s="758"/>
      <c r="Y170" s="758"/>
      <c r="Z170" s="758"/>
      <c r="AA170" s="758"/>
      <c r="AB170" s="758"/>
      <c r="AC170" s="758"/>
      <c r="AD170" s="758"/>
      <c r="AE170" s="758"/>
      <c r="AF170" s="758"/>
      <c r="AG170" s="758"/>
      <c r="AH170" s="758"/>
      <c r="AI170" s="758"/>
      <c r="AJ170" s="758"/>
      <c r="AK170" s="758"/>
      <c r="AL170" s="758"/>
      <c r="AM170" s="758"/>
      <c r="AN170" s="758"/>
      <c r="AO170" s="758"/>
      <c r="CI170" s="753"/>
      <c r="CJ170" s="753"/>
      <c r="CK170" s="753"/>
      <c r="CL170" s="753"/>
      <c r="CM170" s="753"/>
      <c r="CN170" s="753"/>
      <c r="CO170" s="753"/>
      <c r="CP170" s="753"/>
      <c r="CQ170" s="753"/>
      <c r="CR170" s="753"/>
      <c r="CS170" s="753"/>
      <c r="CT170" s="753"/>
      <c r="CU170" s="753"/>
      <c r="CV170" s="753"/>
      <c r="CW170" s="753"/>
      <c r="CX170" s="753"/>
      <c r="CY170" s="753"/>
      <c r="CZ170" s="753"/>
      <c r="DA170" s="753"/>
      <c r="DB170" s="753"/>
      <c r="DC170" s="753"/>
      <c r="DD170" s="753"/>
      <c r="DE170" s="753"/>
      <c r="DF170" s="753"/>
      <c r="DG170" s="753"/>
      <c r="DH170" s="776"/>
      <c r="DI170" s="758"/>
    </row>
    <row r="171" spans="1:113">
      <c r="A171" s="798"/>
      <c r="B171" s="800"/>
      <c r="C171" s="773"/>
      <c r="D171" s="804"/>
      <c r="E171" s="773"/>
      <c r="F171" s="773"/>
      <c r="G171" s="773"/>
      <c r="H171" s="780"/>
      <c r="I171" s="764"/>
      <c r="J171" s="753"/>
      <c r="K171" s="753"/>
      <c r="L171" s="767"/>
      <c r="M171" s="782"/>
      <c r="N171" s="807"/>
      <c r="O171" s="758"/>
      <c r="P171" s="770"/>
      <c r="Q171" s="758"/>
      <c r="R171" s="758"/>
      <c r="S171" s="758"/>
      <c r="T171" s="758"/>
      <c r="U171" s="758"/>
      <c r="V171" s="758"/>
      <c r="W171" s="758"/>
      <c r="X171" s="758"/>
      <c r="Y171" s="758"/>
      <c r="Z171" s="758"/>
      <c r="AA171" s="758"/>
      <c r="AB171" s="758"/>
      <c r="AC171" s="758"/>
      <c r="AD171" s="758"/>
      <c r="AE171" s="758"/>
      <c r="AF171" s="758"/>
      <c r="AG171" s="758"/>
      <c r="AH171" s="758"/>
      <c r="AI171" s="758"/>
      <c r="AJ171" s="758"/>
      <c r="AK171" s="758"/>
      <c r="AL171" s="758"/>
      <c r="AM171" s="758"/>
      <c r="AN171" s="758"/>
      <c r="AO171" s="758"/>
      <c r="CI171" s="753"/>
      <c r="CJ171" s="753"/>
      <c r="CK171" s="753"/>
      <c r="CL171" s="753"/>
      <c r="CM171" s="753"/>
      <c r="CN171" s="753"/>
      <c r="CO171" s="753"/>
      <c r="CP171" s="753"/>
      <c r="CQ171" s="753"/>
      <c r="CR171" s="753"/>
      <c r="CS171" s="753"/>
      <c r="CT171" s="753"/>
      <c r="CU171" s="753"/>
      <c r="CV171" s="753"/>
      <c r="CW171" s="753"/>
      <c r="CX171" s="753"/>
      <c r="CY171" s="753"/>
      <c r="CZ171" s="753"/>
      <c r="DA171" s="753"/>
      <c r="DB171" s="753"/>
      <c r="DC171" s="753"/>
      <c r="DD171" s="753"/>
      <c r="DE171" s="753"/>
      <c r="DF171" s="753"/>
      <c r="DG171" s="753"/>
      <c r="DH171" s="776"/>
      <c r="DI171" s="758"/>
    </row>
    <row r="172" spans="1:113" ht="16.5">
      <c r="A172" s="794"/>
      <c r="B172" s="799"/>
      <c r="C172" s="795"/>
      <c r="D172" s="780"/>
      <c r="E172" s="773"/>
      <c r="F172" s="773"/>
      <c r="G172" s="773"/>
      <c r="H172" s="773"/>
      <c r="I172" s="764"/>
      <c r="J172" s="753"/>
      <c r="K172" s="753"/>
      <c r="L172" s="793"/>
      <c r="M172" s="767"/>
      <c r="N172" s="781"/>
      <c r="O172" s="775"/>
      <c r="P172" s="775"/>
      <c r="Q172" s="758"/>
      <c r="R172" s="758"/>
      <c r="S172" s="758"/>
      <c r="T172" s="758"/>
      <c r="U172" s="758"/>
      <c r="V172" s="758"/>
      <c r="W172" s="758"/>
      <c r="X172" s="758"/>
      <c r="Y172" s="758"/>
      <c r="Z172" s="758"/>
      <c r="AA172" s="758"/>
      <c r="AB172" s="758"/>
      <c r="AC172" s="758"/>
      <c r="AD172" s="758"/>
      <c r="AE172" s="758"/>
      <c r="AF172" s="758"/>
      <c r="AG172" s="758"/>
      <c r="AH172" s="758"/>
      <c r="AI172" s="758"/>
      <c r="AJ172" s="758"/>
      <c r="AK172" s="758"/>
      <c r="AL172" s="758"/>
      <c r="AM172" s="758"/>
      <c r="AN172" s="758"/>
      <c r="AO172" s="758"/>
      <c r="CI172" s="753"/>
      <c r="CJ172" s="753"/>
      <c r="CK172" s="753"/>
      <c r="CL172" s="753"/>
      <c r="CM172" s="753"/>
      <c r="CN172" s="753"/>
      <c r="CO172" s="753"/>
      <c r="CP172" s="753"/>
      <c r="CQ172" s="753"/>
      <c r="CR172" s="753"/>
      <c r="CS172" s="753"/>
      <c r="CT172" s="753"/>
      <c r="CU172" s="753"/>
      <c r="CV172" s="753"/>
      <c r="CW172" s="753"/>
      <c r="CX172" s="753"/>
      <c r="CY172" s="753"/>
      <c r="CZ172" s="753"/>
      <c r="DA172" s="753"/>
      <c r="DB172" s="753"/>
      <c r="DC172" s="753"/>
      <c r="DD172" s="753"/>
      <c r="DE172" s="753"/>
      <c r="DF172" s="753"/>
      <c r="DG172" s="753"/>
      <c r="DH172" s="776"/>
      <c r="DI172" s="758"/>
    </row>
    <row r="173" spans="1:113">
      <c r="A173" s="798"/>
      <c r="B173" s="799"/>
      <c r="C173" s="780"/>
      <c r="D173" s="780"/>
      <c r="E173" s="780"/>
      <c r="F173" s="780"/>
      <c r="G173" s="780"/>
      <c r="H173" s="773"/>
      <c r="I173" s="764"/>
      <c r="J173" s="753"/>
      <c r="K173" s="753"/>
      <c r="L173" s="767"/>
      <c r="M173" s="767"/>
      <c r="N173" s="781"/>
      <c r="O173" s="775"/>
      <c r="P173" s="775"/>
      <c r="Q173" s="758"/>
      <c r="R173" s="758"/>
      <c r="S173" s="758"/>
      <c r="T173" s="758"/>
      <c r="U173" s="758"/>
      <c r="V173" s="758"/>
      <c r="W173" s="758"/>
      <c r="X173" s="758"/>
      <c r="Y173" s="758"/>
      <c r="Z173" s="758"/>
      <c r="AA173" s="758"/>
      <c r="AB173" s="758"/>
      <c r="AC173" s="758"/>
      <c r="AD173" s="758"/>
      <c r="AE173" s="758"/>
      <c r="AF173" s="758"/>
      <c r="AG173" s="758"/>
      <c r="AH173" s="758"/>
      <c r="AI173" s="758"/>
      <c r="AJ173" s="758"/>
      <c r="AK173" s="758"/>
      <c r="AL173" s="758"/>
      <c r="AM173" s="758"/>
      <c r="AN173" s="758"/>
      <c r="AO173" s="758"/>
      <c r="CI173" s="753"/>
      <c r="CJ173" s="753"/>
      <c r="CK173" s="753"/>
      <c r="CL173" s="753"/>
      <c r="CM173" s="753"/>
      <c r="CN173" s="753"/>
      <c r="CO173" s="753"/>
      <c r="CP173" s="753"/>
      <c r="CQ173" s="753"/>
      <c r="CR173" s="753"/>
      <c r="CS173" s="753"/>
      <c r="CT173" s="753"/>
      <c r="CU173" s="753"/>
      <c r="CV173" s="753"/>
      <c r="CW173" s="753"/>
      <c r="CX173" s="753"/>
      <c r="CY173" s="753"/>
      <c r="CZ173" s="753"/>
      <c r="DA173" s="753"/>
      <c r="DB173" s="753"/>
      <c r="DC173" s="753"/>
      <c r="DD173" s="753"/>
      <c r="DE173" s="753"/>
      <c r="DF173" s="753"/>
      <c r="DG173" s="753"/>
      <c r="DH173" s="776"/>
      <c r="DI173" s="758"/>
    </row>
    <row r="174" spans="1:113">
      <c r="A174" s="798"/>
      <c r="B174" s="799"/>
      <c r="C174" s="780"/>
      <c r="D174" s="780"/>
      <c r="E174" s="780"/>
      <c r="F174" s="780"/>
      <c r="G174" s="780"/>
      <c r="H174" s="773"/>
      <c r="I174" s="764"/>
      <c r="J174" s="753"/>
      <c r="K174" s="753"/>
      <c r="L174" s="803"/>
      <c r="M174" s="782"/>
      <c r="N174" s="807"/>
      <c r="O174" s="758"/>
      <c r="P174" s="783"/>
      <c r="Q174" s="758"/>
      <c r="R174" s="758"/>
      <c r="S174" s="758"/>
      <c r="T174" s="758"/>
      <c r="U174" s="758"/>
      <c r="V174" s="758"/>
      <c r="W174" s="758"/>
      <c r="X174" s="758"/>
      <c r="Y174" s="758"/>
      <c r="Z174" s="758"/>
      <c r="AA174" s="758"/>
      <c r="AB174" s="758"/>
      <c r="AC174" s="758"/>
      <c r="AD174" s="758"/>
      <c r="AE174" s="758"/>
      <c r="AF174" s="758"/>
      <c r="AG174" s="758"/>
      <c r="AH174" s="758"/>
      <c r="AI174" s="758"/>
      <c r="AJ174" s="758"/>
      <c r="AK174" s="758"/>
      <c r="AL174" s="758"/>
      <c r="AM174" s="758"/>
      <c r="AN174" s="758"/>
      <c r="AO174" s="758"/>
      <c r="CI174" s="753"/>
      <c r="CJ174" s="753"/>
      <c r="CK174" s="753"/>
      <c r="CL174" s="753"/>
      <c r="CM174" s="753"/>
      <c r="CN174" s="753"/>
      <c r="CO174" s="753"/>
      <c r="CP174" s="753"/>
      <c r="CQ174" s="753"/>
      <c r="CR174" s="753"/>
      <c r="CS174" s="753"/>
      <c r="CT174" s="753"/>
      <c r="CU174" s="753"/>
      <c r="CV174" s="753"/>
      <c r="CW174" s="753"/>
      <c r="CX174" s="753"/>
      <c r="CY174" s="753"/>
      <c r="CZ174" s="753"/>
      <c r="DA174" s="753"/>
      <c r="DB174" s="753"/>
      <c r="DC174" s="753"/>
      <c r="DD174" s="753"/>
      <c r="DE174" s="753"/>
      <c r="DF174" s="753"/>
      <c r="DG174" s="753"/>
      <c r="DH174" s="776"/>
      <c r="DI174" s="758"/>
    </row>
    <row r="175" spans="1:113" ht="15.75">
      <c r="A175" s="794"/>
      <c r="B175" s="800"/>
      <c r="C175" s="780"/>
      <c r="D175" s="780"/>
      <c r="E175" s="780"/>
      <c r="F175" s="780"/>
      <c r="G175" s="780"/>
      <c r="H175" s="773"/>
      <c r="I175" s="764"/>
      <c r="J175" s="753"/>
      <c r="K175" s="753"/>
      <c r="L175" s="813"/>
      <c r="M175" s="767"/>
      <c r="N175" s="779"/>
      <c r="O175" s="775"/>
      <c r="P175" s="753"/>
      <c r="Q175" s="758"/>
      <c r="R175" s="758"/>
      <c r="S175" s="758"/>
      <c r="T175" s="758"/>
      <c r="U175" s="758"/>
      <c r="V175" s="758"/>
      <c r="W175" s="758"/>
      <c r="X175" s="758"/>
      <c r="Y175" s="758"/>
      <c r="Z175" s="758"/>
      <c r="AA175" s="758"/>
      <c r="AB175" s="758"/>
      <c r="AC175" s="758"/>
      <c r="AD175" s="758"/>
      <c r="AE175" s="758"/>
      <c r="AF175" s="758"/>
      <c r="AG175" s="758"/>
      <c r="AH175" s="758"/>
      <c r="AI175" s="758"/>
      <c r="AJ175" s="758"/>
      <c r="AK175" s="758"/>
      <c r="AL175" s="758"/>
      <c r="AM175" s="758"/>
      <c r="AN175" s="758"/>
      <c r="AO175" s="758"/>
      <c r="CI175" s="753"/>
      <c r="CJ175" s="753"/>
      <c r="CK175" s="753"/>
      <c r="CL175" s="753"/>
      <c r="CM175" s="753"/>
      <c r="CN175" s="753"/>
      <c r="CO175" s="753"/>
      <c r="CP175" s="753"/>
      <c r="CQ175" s="753"/>
      <c r="CR175" s="753"/>
      <c r="CS175" s="753"/>
      <c r="CT175" s="753"/>
      <c r="CU175" s="753"/>
      <c r="CV175" s="753"/>
      <c r="CW175" s="753"/>
      <c r="CX175" s="753"/>
      <c r="CY175" s="753"/>
      <c r="CZ175" s="753"/>
      <c r="DA175" s="753"/>
      <c r="DB175" s="753"/>
      <c r="DC175" s="753"/>
      <c r="DD175" s="753"/>
      <c r="DE175" s="753"/>
      <c r="DF175" s="753"/>
      <c r="DG175" s="753"/>
      <c r="DH175" s="776"/>
      <c r="DI175" s="758"/>
    </row>
    <row r="176" spans="1:113" ht="15.75">
      <c r="A176" s="794"/>
      <c r="B176" s="800"/>
      <c r="C176" s="780"/>
      <c r="D176" s="780"/>
      <c r="E176" s="780"/>
      <c r="F176" s="780"/>
      <c r="G176" s="773"/>
      <c r="H176" s="780"/>
      <c r="I176" s="788"/>
      <c r="J176" s="753"/>
      <c r="K176" s="753"/>
      <c r="L176" s="753"/>
      <c r="M176" s="753"/>
      <c r="N176" s="758"/>
      <c r="O176" s="758"/>
      <c r="P176" s="753"/>
      <c r="Q176" s="758"/>
      <c r="R176" s="758"/>
      <c r="S176" s="758"/>
      <c r="T176" s="758"/>
      <c r="U176" s="758"/>
      <c r="V176" s="758"/>
      <c r="W176" s="758"/>
      <c r="X176" s="758"/>
      <c r="Y176" s="758"/>
      <c r="Z176" s="758"/>
      <c r="AA176" s="758"/>
      <c r="AB176" s="758"/>
      <c r="AC176" s="758"/>
      <c r="AD176" s="758"/>
      <c r="AE176" s="758"/>
      <c r="AF176" s="758"/>
      <c r="AG176" s="758"/>
      <c r="AH176" s="758"/>
      <c r="AI176" s="758"/>
      <c r="AJ176" s="758"/>
      <c r="AK176" s="758"/>
      <c r="AL176" s="758"/>
      <c r="AM176" s="758"/>
      <c r="AN176" s="758"/>
      <c r="AO176" s="758"/>
      <c r="CI176" s="753"/>
      <c r="CJ176" s="753"/>
      <c r="CK176" s="753"/>
      <c r="CL176" s="753"/>
      <c r="CM176" s="753"/>
      <c r="CN176" s="753"/>
      <c r="CO176" s="753"/>
      <c r="CP176" s="753"/>
      <c r="CQ176" s="753"/>
      <c r="CR176" s="753"/>
      <c r="CS176" s="753"/>
      <c r="CT176" s="753"/>
      <c r="CU176" s="753"/>
      <c r="CV176" s="753"/>
      <c r="CW176" s="753"/>
      <c r="CX176" s="753"/>
      <c r="CY176" s="753"/>
      <c r="CZ176" s="753"/>
      <c r="DA176" s="753"/>
      <c r="DB176" s="753"/>
      <c r="DC176" s="753"/>
      <c r="DD176" s="753"/>
      <c r="DE176" s="753"/>
      <c r="DF176" s="753"/>
      <c r="DG176" s="753"/>
      <c r="DH176" s="776"/>
      <c r="DI176" s="758"/>
    </row>
    <row r="177" spans="1:113">
      <c r="A177" s="780"/>
      <c r="B177" s="780"/>
      <c r="C177" s="780"/>
      <c r="D177" s="780"/>
      <c r="E177" s="780"/>
      <c r="F177" s="780"/>
      <c r="G177" s="773"/>
      <c r="H177" s="797"/>
      <c r="I177" s="787"/>
      <c r="J177" s="753"/>
      <c r="K177" s="753"/>
      <c r="L177" s="753"/>
      <c r="M177" s="770"/>
      <c r="N177" s="758"/>
      <c r="O177" s="758"/>
      <c r="P177" s="814"/>
      <c r="Q177" s="758"/>
      <c r="R177" s="758"/>
      <c r="S177" s="758"/>
      <c r="T177" s="758"/>
      <c r="U177" s="758"/>
      <c r="V177" s="758"/>
      <c r="W177" s="758"/>
      <c r="X177" s="758"/>
      <c r="Y177" s="758"/>
      <c r="Z177" s="758"/>
      <c r="AA177" s="758"/>
      <c r="AB177" s="758"/>
      <c r="AC177" s="758"/>
      <c r="AD177" s="758"/>
      <c r="AE177" s="758"/>
      <c r="AF177" s="758"/>
      <c r="AG177" s="758"/>
      <c r="AH177" s="758"/>
      <c r="AI177" s="758"/>
      <c r="AJ177" s="758"/>
      <c r="AK177" s="758"/>
      <c r="AL177" s="758"/>
      <c r="AM177" s="758"/>
      <c r="AN177" s="758"/>
      <c r="AO177" s="758"/>
      <c r="CI177" s="753"/>
      <c r="CJ177" s="753"/>
      <c r="CK177" s="753"/>
      <c r="CL177" s="753"/>
      <c r="CM177" s="753"/>
      <c r="CN177" s="753"/>
      <c r="CO177" s="753"/>
      <c r="CP177" s="753"/>
      <c r="CQ177" s="753"/>
      <c r="CR177" s="753"/>
      <c r="CS177" s="753"/>
      <c r="CT177" s="753"/>
      <c r="CU177" s="753"/>
      <c r="CV177" s="753"/>
      <c r="CW177" s="753"/>
      <c r="CX177" s="753"/>
      <c r="CY177" s="753"/>
      <c r="CZ177" s="753"/>
      <c r="DA177" s="753"/>
      <c r="DB177" s="753"/>
      <c r="DC177" s="753"/>
      <c r="DD177" s="753"/>
      <c r="DE177" s="753"/>
      <c r="DF177" s="753"/>
      <c r="DG177" s="753"/>
      <c r="DH177" s="776"/>
      <c r="DI177" s="758"/>
    </row>
    <row r="178" spans="1:113">
      <c r="A178" s="780"/>
      <c r="B178" s="780"/>
      <c r="C178" s="780"/>
      <c r="D178" s="780"/>
      <c r="E178" s="780"/>
      <c r="F178" s="780"/>
      <c r="G178" s="780"/>
      <c r="H178" s="797"/>
      <c r="I178" s="787"/>
      <c r="J178" s="753"/>
      <c r="K178" s="753"/>
      <c r="L178" s="753"/>
      <c r="M178" s="767"/>
      <c r="N178" s="779"/>
      <c r="O178" s="775"/>
      <c r="P178" s="775"/>
      <c r="Q178" s="758"/>
      <c r="R178" s="758"/>
      <c r="S178" s="758"/>
      <c r="T178" s="758"/>
      <c r="U178" s="758"/>
      <c r="V178" s="758"/>
      <c r="W178" s="758"/>
      <c r="X178" s="758"/>
      <c r="Y178" s="758"/>
      <c r="Z178" s="758"/>
      <c r="AA178" s="758"/>
      <c r="AB178" s="758"/>
      <c r="AC178" s="758"/>
      <c r="AD178" s="758"/>
      <c r="AE178" s="758"/>
      <c r="AF178" s="758"/>
      <c r="AG178" s="758"/>
      <c r="AH178" s="758"/>
      <c r="AI178" s="758"/>
      <c r="AJ178" s="758"/>
      <c r="AK178" s="758"/>
      <c r="AL178" s="758"/>
      <c r="AM178" s="758"/>
      <c r="AN178" s="758"/>
      <c r="AO178" s="758"/>
      <c r="CI178" s="753"/>
      <c r="CJ178" s="753"/>
      <c r="CK178" s="753"/>
      <c r="CL178" s="753"/>
      <c r="CM178" s="753"/>
      <c r="CN178" s="753"/>
      <c r="CO178" s="753"/>
      <c r="CP178" s="753"/>
      <c r="CQ178" s="753"/>
      <c r="CR178" s="753"/>
      <c r="CS178" s="753"/>
      <c r="CT178" s="753"/>
      <c r="CU178" s="753"/>
      <c r="CV178" s="753"/>
      <c r="CW178" s="753"/>
      <c r="CX178" s="753"/>
      <c r="CY178" s="753"/>
      <c r="CZ178" s="753"/>
      <c r="DA178" s="753"/>
      <c r="DB178" s="753"/>
      <c r="DC178" s="753"/>
      <c r="DD178" s="753"/>
      <c r="DE178" s="753"/>
      <c r="DF178" s="753"/>
      <c r="DG178" s="753"/>
      <c r="DH178" s="776"/>
      <c r="DI178" s="758"/>
    </row>
    <row r="179" spans="1:113">
      <c r="A179" s="796"/>
      <c r="B179" s="774"/>
      <c r="C179" s="773"/>
      <c r="D179" s="804"/>
      <c r="E179" s="773"/>
      <c r="F179" s="773"/>
      <c r="G179" s="773"/>
      <c r="H179" s="801"/>
      <c r="I179" s="764"/>
      <c r="J179" s="753"/>
      <c r="K179" s="753"/>
      <c r="L179" s="753"/>
      <c r="M179" s="767"/>
      <c r="N179" s="779"/>
      <c r="O179" s="775"/>
      <c r="P179" s="775"/>
      <c r="Q179" s="758"/>
      <c r="R179" s="758"/>
      <c r="S179" s="758"/>
      <c r="T179" s="758"/>
      <c r="U179" s="758"/>
      <c r="V179" s="758"/>
      <c r="W179" s="758"/>
      <c r="X179" s="758"/>
      <c r="Y179" s="758"/>
      <c r="Z179" s="758"/>
      <c r="AA179" s="758"/>
      <c r="AB179" s="758"/>
      <c r="AC179" s="758"/>
      <c r="AD179" s="758"/>
      <c r="AE179" s="758"/>
      <c r="AF179" s="758"/>
      <c r="AG179" s="758"/>
      <c r="AH179" s="758"/>
      <c r="AI179" s="758"/>
      <c r="AJ179" s="758"/>
      <c r="AK179" s="758"/>
      <c r="AL179" s="758"/>
      <c r="AM179" s="758"/>
      <c r="AN179" s="758"/>
      <c r="AO179" s="758"/>
      <c r="CI179" s="753"/>
      <c r="CJ179" s="753"/>
      <c r="CK179" s="753"/>
      <c r="CL179" s="753"/>
      <c r="CM179" s="753"/>
      <c r="CN179" s="753"/>
      <c r="CO179" s="753"/>
      <c r="CP179" s="753"/>
      <c r="CQ179" s="753"/>
      <c r="CR179" s="753"/>
      <c r="CS179" s="753"/>
      <c r="CT179" s="753"/>
      <c r="CU179" s="753"/>
      <c r="CV179" s="753"/>
      <c r="CW179" s="753"/>
      <c r="CX179" s="753"/>
      <c r="CY179" s="753"/>
      <c r="CZ179" s="753"/>
      <c r="DA179" s="753"/>
      <c r="DB179" s="753"/>
      <c r="DC179" s="753"/>
      <c r="DD179" s="753"/>
      <c r="DE179" s="753"/>
      <c r="DF179" s="753"/>
      <c r="DG179" s="753"/>
      <c r="DH179" s="776"/>
      <c r="DI179" s="758"/>
    </row>
    <row r="180" spans="1:113">
      <c r="A180" s="798"/>
      <c r="B180" s="800"/>
      <c r="C180" s="773"/>
      <c r="D180" s="804"/>
      <c r="E180" s="773"/>
      <c r="F180" s="773"/>
      <c r="G180" s="773"/>
      <c r="H180" s="780"/>
      <c r="I180" s="788"/>
      <c r="J180" s="753"/>
      <c r="K180" s="753"/>
      <c r="L180" s="753"/>
      <c r="M180" s="767"/>
      <c r="N180" s="779"/>
      <c r="O180" s="775"/>
      <c r="P180" s="775"/>
      <c r="Q180" s="758"/>
      <c r="R180" s="758"/>
      <c r="S180" s="758"/>
      <c r="T180" s="758"/>
      <c r="U180" s="758"/>
      <c r="V180" s="758"/>
      <c r="W180" s="758"/>
      <c r="X180" s="758"/>
      <c r="Y180" s="758"/>
      <c r="Z180" s="758"/>
      <c r="AA180" s="758"/>
      <c r="AB180" s="758"/>
      <c r="AC180" s="758"/>
      <c r="AD180" s="758"/>
      <c r="AE180" s="758"/>
      <c r="AF180" s="758"/>
      <c r="AG180" s="758"/>
      <c r="AH180" s="758"/>
      <c r="AI180" s="758"/>
      <c r="AJ180" s="758"/>
      <c r="AK180" s="758"/>
      <c r="AL180" s="758"/>
      <c r="AM180" s="758"/>
      <c r="AN180" s="758"/>
      <c r="AO180" s="758"/>
      <c r="CI180" s="753"/>
      <c r="CJ180" s="753"/>
      <c r="CK180" s="753"/>
      <c r="CL180" s="753"/>
      <c r="CM180" s="753"/>
      <c r="CN180" s="753"/>
      <c r="CO180" s="753"/>
      <c r="CP180" s="753"/>
      <c r="CQ180" s="753"/>
      <c r="CR180" s="753"/>
      <c r="CS180" s="753"/>
      <c r="CT180" s="753"/>
      <c r="CU180" s="753"/>
      <c r="CV180" s="753"/>
      <c r="CW180" s="753"/>
      <c r="CX180" s="753"/>
      <c r="CY180" s="753"/>
      <c r="CZ180" s="753"/>
      <c r="DA180" s="753"/>
      <c r="DB180" s="753"/>
      <c r="DC180" s="753"/>
      <c r="DD180" s="753"/>
      <c r="DE180" s="753"/>
      <c r="DF180" s="753"/>
      <c r="DG180" s="753"/>
      <c r="DH180" s="776"/>
      <c r="DI180" s="758"/>
    </row>
    <row r="181" spans="1:113">
      <c r="A181" s="798"/>
      <c r="B181" s="800"/>
      <c r="C181" s="773"/>
      <c r="D181" s="804"/>
      <c r="E181" s="773"/>
      <c r="F181" s="773"/>
      <c r="G181" s="773"/>
      <c r="H181" s="784"/>
      <c r="I181" s="785"/>
      <c r="J181" s="753"/>
      <c r="K181" s="753"/>
      <c r="L181" s="753"/>
      <c r="M181" s="767"/>
      <c r="N181" s="779"/>
      <c r="O181" s="775"/>
      <c r="P181" s="775"/>
      <c r="Q181" s="758"/>
      <c r="R181" s="758"/>
      <c r="S181" s="758"/>
      <c r="T181" s="758"/>
      <c r="U181" s="758"/>
      <c r="V181" s="758"/>
      <c r="W181" s="758"/>
      <c r="X181" s="758"/>
      <c r="Y181" s="758"/>
      <c r="Z181" s="758"/>
      <c r="AA181" s="758"/>
      <c r="AB181" s="758"/>
      <c r="AC181" s="758"/>
      <c r="AD181" s="758"/>
      <c r="AE181" s="758"/>
      <c r="AF181" s="758"/>
      <c r="AG181" s="758"/>
      <c r="AH181" s="758"/>
      <c r="AI181" s="758"/>
      <c r="AJ181" s="758"/>
      <c r="AK181" s="758"/>
      <c r="AL181" s="758"/>
      <c r="AM181" s="758"/>
      <c r="AN181" s="758"/>
      <c r="AO181" s="758"/>
      <c r="CI181" s="753"/>
      <c r="CJ181" s="753"/>
      <c r="CK181" s="753"/>
      <c r="CL181" s="753"/>
      <c r="CM181" s="753"/>
      <c r="CN181" s="753"/>
      <c r="CO181" s="753"/>
      <c r="CP181" s="753"/>
      <c r="CQ181" s="753"/>
      <c r="CR181" s="753"/>
      <c r="CS181" s="753"/>
      <c r="CT181" s="753"/>
      <c r="CU181" s="753"/>
      <c r="CV181" s="753"/>
      <c r="CW181" s="753"/>
      <c r="CX181" s="753"/>
      <c r="CY181" s="753"/>
      <c r="CZ181" s="753"/>
      <c r="DA181" s="753"/>
      <c r="DB181" s="753"/>
      <c r="DC181" s="753"/>
      <c r="DD181" s="753"/>
      <c r="DE181" s="753"/>
      <c r="DF181" s="753"/>
      <c r="DG181" s="753"/>
      <c r="DH181" s="776"/>
      <c r="DI181" s="758"/>
    </row>
    <row r="182" spans="1:113" ht="16.5">
      <c r="A182" s="794"/>
      <c r="B182" s="799"/>
      <c r="C182" s="795"/>
      <c r="D182" s="780"/>
      <c r="E182" s="773"/>
      <c r="F182" s="773"/>
      <c r="G182" s="780"/>
      <c r="H182" s="780"/>
      <c r="I182" s="764"/>
      <c r="J182" s="753"/>
      <c r="K182" s="753"/>
      <c r="L182" s="753"/>
      <c r="M182" s="770"/>
      <c r="N182" s="758"/>
      <c r="O182" s="758"/>
      <c r="P182" s="775"/>
      <c r="Q182" s="758"/>
      <c r="R182" s="758"/>
      <c r="S182" s="758"/>
      <c r="T182" s="758"/>
      <c r="U182" s="758"/>
      <c r="V182" s="758"/>
      <c r="W182" s="758"/>
      <c r="X182" s="758"/>
      <c r="Y182" s="758"/>
      <c r="Z182" s="758"/>
      <c r="AA182" s="758"/>
      <c r="AB182" s="758"/>
      <c r="AC182" s="758"/>
      <c r="AD182" s="758"/>
      <c r="AE182" s="758"/>
      <c r="AF182" s="758"/>
      <c r="AG182" s="758"/>
      <c r="AH182" s="758"/>
      <c r="AI182" s="758"/>
      <c r="AJ182" s="758"/>
      <c r="AK182" s="758"/>
      <c r="AL182" s="758"/>
      <c r="AM182" s="758"/>
      <c r="AN182" s="758"/>
      <c r="AO182" s="758"/>
      <c r="CI182" s="753"/>
      <c r="CJ182" s="753"/>
      <c r="CK182" s="753"/>
      <c r="CL182" s="753"/>
      <c r="CM182" s="753"/>
      <c r="CN182" s="753"/>
      <c r="CO182" s="753"/>
      <c r="CP182" s="753"/>
      <c r="CQ182" s="753"/>
      <c r="CR182" s="753"/>
      <c r="CS182" s="753"/>
      <c r="CT182" s="753"/>
      <c r="CU182" s="753"/>
      <c r="CV182" s="753"/>
      <c r="CW182" s="753"/>
      <c r="CX182" s="753"/>
      <c r="CY182" s="753"/>
      <c r="CZ182" s="753"/>
      <c r="DA182" s="753"/>
      <c r="DB182" s="753"/>
      <c r="DC182" s="753"/>
      <c r="DD182" s="753"/>
      <c r="DE182" s="753"/>
      <c r="DF182" s="753"/>
      <c r="DG182" s="753"/>
      <c r="DH182" s="776"/>
      <c r="DI182" s="758"/>
    </row>
    <row r="183" spans="1:113">
      <c r="A183" s="798"/>
      <c r="B183" s="799"/>
      <c r="C183" s="780"/>
      <c r="D183" s="780"/>
      <c r="E183" s="780"/>
      <c r="F183" s="780"/>
      <c r="G183" s="780"/>
      <c r="H183" s="780"/>
      <c r="I183" s="788"/>
      <c r="J183" s="753"/>
      <c r="K183" s="753"/>
      <c r="L183" s="753"/>
      <c r="M183" s="767"/>
      <c r="N183" s="781"/>
      <c r="O183" s="775"/>
      <c r="P183" s="775"/>
      <c r="Q183" s="758"/>
      <c r="R183" s="758"/>
      <c r="S183" s="758"/>
      <c r="T183" s="758"/>
      <c r="U183" s="758"/>
      <c r="V183" s="758"/>
      <c r="W183" s="758"/>
      <c r="X183" s="758"/>
      <c r="Y183" s="758"/>
      <c r="Z183" s="758"/>
      <c r="AA183" s="758"/>
      <c r="AB183" s="758"/>
      <c r="AC183" s="758"/>
      <c r="AD183" s="758"/>
      <c r="AE183" s="758"/>
      <c r="AF183" s="758"/>
      <c r="AG183" s="758"/>
      <c r="AH183" s="758"/>
      <c r="AI183" s="758"/>
      <c r="AJ183" s="758"/>
      <c r="AK183" s="758"/>
      <c r="AL183" s="758"/>
      <c r="AM183" s="758"/>
      <c r="AN183" s="758"/>
      <c r="AO183" s="758"/>
      <c r="CI183" s="753"/>
      <c r="CJ183" s="753"/>
      <c r="CK183" s="753"/>
      <c r="CL183" s="753"/>
      <c r="CM183" s="753"/>
      <c r="CN183" s="753"/>
      <c r="CO183" s="753"/>
      <c r="CP183" s="753"/>
      <c r="CQ183" s="753"/>
      <c r="CR183" s="753"/>
      <c r="CS183" s="753"/>
      <c r="CT183" s="753"/>
      <c r="CU183" s="753"/>
      <c r="CV183" s="753"/>
      <c r="CW183" s="753"/>
      <c r="CX183" s="753"/>
      <c r="CY183" s="753"/>
      <c r="CZ183" s="753"/>
      <c r="DA183" s="753"/>
      <c r="DB183" s="753"/>
      <c r="DC183" s="753"/>
      <c r="DD183" s="753"/>
      <c r="DE183" s="753"/>
      <c r="DF183" s="753"/>
      <c r="DG183" s="753"/>
      <c r="DH183" s="776"/>
      <c r="DI183" s="758"/>
    </row>
    <row r="184" spans="1:113">
      <c r="A184" s="798"/>
      <c r="B184" s="799"/>
      <c r="C184" s="780"/>
      <c r="D184" s="780"/>
      <c r="E184" s="780"/>
      <c r="F184" s="780"/>
      <c r="G184" s="780"/>
      <c r="H184" s="780"/>
      <c r="I184" s="788"/>
      <c r="J184" s="753"/>
      <c r="K184" s="753"/>
      <c r="L184" s="753"/>
      <c r="M184" s="767"/>
      <c r="N184" s="779"/>
      <c r="O184" s="775"/>
      <c r="P184" s="775"/>
      <c r="Q184" s="758"/>
      <c r="R184" s="758"/>
      <c r="S184" s="758"/>
      <c r="T184" s="758"/>
      <c r="U184" s="758"/>
      <c r="V184" s="758"/>
      <c r="W184" s="758"/>
      <c r="X184" s="758"/>
      <c r="Y184" s="758"/>
      <c r="Z184" s="758"/>
      <c r="AA184" s="758"/>
      <c r="AB184" s="758"/>
      <c r="AC184" s="758"/>
      <c r="AD184" s="758"/>
      <c r="AE184" s="758"/>
      <c r="AF184" s="758"/>
      <c r="AG184" s="758"/>
      <c r="AH184" s="758"/>
      <c r="AI184" s="758"/>
      <c r="AJ184" s="758"/>
      <c r="AK184" s="758"/>
      <c r="AL184" s="758"/>
      <c r="AM184" s="758"/>
      <c r="AN184" s="758"/>
      <c r="AO184" s="758"/>
      <c r="CI184" s="753"/>
      <c r="CJ184" s="753"/>
      <c r="CK184" s="753"/>
      <c r="CL184" s="753"/>
      <c r="CM184" s="753"/>
      <c r="CN184" s="753"/>
      <c r="CO184" s="753"/>
      <c r="CP184" s="753"/>
      <c r="CQ184" s="753"/>
      <c r="CR184" s="753"/>
      <c r="CS184" s="753"/>
      <c r="CT184" s="753"/>
      <c r="CU184" s="753"/>
      <c r="CV184" s="753"/>
      <c r="CW184" s="753"/>
      <c r="CX184" s="753"/>
      <c r="CY184" s="753"/>
      <c r="CZ184" s="753"/>
      <c r="DA184" s="753"/>
      <c r="DB184" s="753"/>
      <c r="DC184" s="753"/>
      <c r="DD184" s="753"/>
      <c r="DE184" s="753"/>
      <c r="DF184" s="753"/>
      <c r="DG184" s="753"/>
      <c r="DH184" s="776"/>
      <c r="DI184" s="758"/>
    </row>
    <row r="185" spans="1:113" ht="15.75">
      <c r="A185" s="794"/>
      <c r="B185" s="800"/>
      <c r="C185" s="780"/>
      <c r="D185" s="780"/>
      <c r="E185" s="780"/>
      <c r="F185" s="780"/>
      <c r="G185" s="780"/>
      <c r="H185" s="797"/>
      <c r="I185" s="787"/>
      <c r="J185" s="753"/>
      <c r="K185" s="753"/>
      <c r="L185" s="753"/>
      <c r="M185" s="767"/>
      <c r="N185" s="779"/>
      <c r="O185" s="775"/>
      <c r="P185" s="775"/>
      <c r="Q185" s="758"/>
      <c r="R185" s="758"/>
      <c r="S185" s="758"/>
      <c r="T185" s="758"/>
      <c r="U185" s="758"/>
      <c r="V185" s="758"/>
      <c r="W185" s="758"/>
      <c r="X185" s="758"/>
      <c r="Y185" s="758"/>
      <c r="Z185" s="758"/>
      <c r="AA185" s="758"/>
      <c r="AB185" s="758"/>
      <c r="AC185" s="758"/>
      <c r="AD185" s="758"/>
      <c r="AE185" s="758"/>
      <c r="AF185" s="758"/>
      <c r="AG185" s="758"/>
      <c r="AH185" s="758"/>
      <c r="AI185" s="758"/>
      <c r="AJ185" s="758"/>
      <c r="AK185" s="758"/>
      <c r="AL185" s="758"/>
      <c r="AM185" s="758"/>
      <c r="AN185" s="758"/>
      <c r="AO185" s="758"/>
      <c r="CI185" s="753"/>
      <c r="CJ185" s="753"/>
      <c r="CK185" s="753"/>
      <c r="CL185" s="753"/>
      <c r="CM185" s="753"/>
      <c r="CN185" s="753"/>
      <c r="CO185" s="753"/>
      <c r="CP185" s="753"/>
      <c r="CQ185" s="753"/>
      <c r="CR185" s="753"/>
      <c r="CS185" s="753"/>
      <c r="CT185" s="753"/>
      <c r="CU185" s="753"/>
      <c r="CV185" s="753"/>
      <c r="CW185" s="753"/>
      <c r="CX185" s="753"/>
      <c r="CY185" s="753"/>
      <c r="CZ185" s="753"/>
      <c r="DA185" s="753"/>
      <c r="DB185" s="753"/>
      <c r="DC185" s="753"/>
      <c r="DD185" s="753"/>
      <c r="DE185" s="753"/>
      <c r="DF185" s="753"/>
      <c r="DG185" s="753"/>
      <c r="DH185" s="776"/>
      <c r="DI185" s="758"/>
    </row>
    <row r="186" spans="1:113" ht="15.75">
      <c r="A186" s="794"/>
      <c r="B186" s="800"/>
      <c r="C186" s="780"/>
      <c r="D186" s="780"/>
      <c r="E186" s="780"/>
      <c r="F186" s="780"/>
      <c r="G186" s="780"/>
      <c r="H186" s="797"/>
      <c r="I186" s="787"/>
      <c r="J186" s="753"/>
      <c r="K186" s="753"/>
      <c r="L186" s="753"/>
      <c r="M186" s="753"/>
      <c r="N186" s="758"/>
      <c r="O186" s="758"/>
      <c r="P186" s="775"/>
      <c r="Q186" s="758"/>
      <c r="R186" s="758"/>
      <c r="S186" s="758"/>
      <c r="T186" s="758"/>
      <c r="U186" s="758"/>
      <c r="V186" s="758"/>
      <c r="W186" s="758"/>
      <c r="X186" s="758"/>
      <c r="Y186" s="758"/>
      <c r="Z186" s="758"/>
      <c r="AA186" s="758"/>
      <c r="AB186" s="758"/>
      <c r="AC186" s="758"/>
      <c r="AD186" s="758"/>
      <c r="AE186" s="758"/>
      <c r="AF186" s="758"/>
      <c r="AG186" s="758"/>
      <c r="AH186" s="758"/>
      <c r="AI186" s="758"/>
      <c r="AJ186" s="758"/>
      <c r="AK186" s="758"/>
      <c r="AL186" s="758"/>
      <c r="AM186" s="758"/>
      <c r="AN186" s="758"/>
      <c r="AO186" s="758"/>
      <c r="CI186" s="753"/>
      <c r="CJ186" s="753"/>
      <c r="CK186" s="753"/>
      <c r="CL186" s="753"/>
      <c r="CM186" s="753"/>
      <c r="CN186" s="753"/>
      <c r="CO186" s="753"/>
      <c r="CP186" s="753"/>
      <c r="CQ186" s="753"/>
      <c r="CR186" s="753"/>
      <c r="CS186" s="753"/>
      <c r="CT186" s="753"/>
      <c r="CU186" s="753"/>
      <c r="CV186" s="753"/>
      <c r="CW186" s="753"/>
      <c r="CX186" s="753"/>
      <c r="CY186" s="753"/>
      <c r="CZ186" s="753"/>
      <c r="DA186" s="753"/>
      <c r="DB186" s="753"/>
      <c r="DC186" s="753"/>
      <c r="DD186" s="753"/>
      <c r="DE186" s="753"/>
      <c r="DF186" s="753"/>
      <c r="DG186" s="753"/>
      <c r="DH186" s="776"/>
      <c r="DI186" s="758"/>
    </row>
    <row r="187" spans="1:113">
      <c r="A187" s="780"/>
      <c r="B187" s="800"/>
      <c r="C187" s="773"/>
      <c r="D187" s="805"/>
      <c r="E187" s="780"/>
      <c r="F187" s="780"/>
      <c r="G187" s="780"/>
      <c r="H187" s="780"/>
      <c r="I187" s="815"/>
      <c r="J187" s="753"/>
      <c r="K187" s="753"/>
      <c r="L187" s="753"/>
      <c r="M187" s="803"/>
      <c r="N187" s="779"/>
      <c r="O187" s="775"/>
      <c r="P187" s="775"/>
      <c r="Q187" s="758"/>
      <c r="R187" s="758"/>
      <c r="S187" s="758"/>
      <c r="T187" s="758"/>
      <c r="U187" s="758"/>
      <c r="V187" s="758"/>
      <c r="W187" s="758"/>
      <c r="X187" s="758"/>
      <c r="Y187" s="758"/>
      <c r="Z187" s="758"/>
      <c r="AA187" s="758"/>
      <c r="AB187" s="758"/>
      <c r="AC187" s="758"/>
      <c r="AD187" s="758"/>
      <c r="AE187" s="758"/>
      <c r="AF187" s="758"/>
      <c r="AG187" s="758"/>
      <c r="AH187" s="758"/>
      <c r="AI187" s="758"/>
      <c r="AJ187" s="758"/>
      <c r="AK187" s="758"/>
      <c r="AL187" s="758"/>
      <c r="AM187" s="758"/>
      <c r="AN187" s="758"/>
      <c r="AO187" s="758"/>
      <c r="CI187" s="753"/>
      <c r="CJ187" s="753"/>
      <c r="CK187" s="753"/>
      <c r="CL187" s="753"/>
      <c r="CM187" s="753"/>
      <c r="CN187" s="753"/>
      <c r="CO187" s="753"/>
      <c r="CP187" s="753"/>
      <c r="CQ187" s="753"/>
      <c r="CR187" s="753"/>
      <c r="CS187" s="753"/>
      <c r="CT187" s="753"/>
      <c r="CU187" s="753"/>
      <c r="CV187" s="753"/>
      <c r="CW187" s="753"/>
      <c r="CX187" s="753"/>
      <c r="CY187" s="753"/>
      <c r="CZ187" s="753"/>
      <c r="DA187" s="753"/>
      <c r="DB187" s="753"/>
      <c r="DC187" s="753"/>
      <c r="DD187" s="753"/>
      <c r="DE187" s="753"/>
      <c r="DF187" s="753"/>
      <c r="DG187" s="753"/>
      <c r="DH187" s="776"/>
      <c r="DI187" s="758"/>
    </row>
    <row r="188" spans="1:113">
      <c r="A188" s="780"/>
      <c r="B188" s="774"/>
      <c r="C188" s="804"/>
      <c r="D188" s="804"/>
      <c r="E188" s="780"/>
      <c r="F188" s="780"/>
      <c r="G188" s="780"/>
      <c r="H188" s="780"/>
      <c r="I188" s="815"/>
      <c r="J188" s="753"/>
      <c r="K188" s="753"/>
      <c r="L188" s="753"/>
      <c r="M188" s="767"/>
      <c r="N188" s="781"/>
      <c r="O188" s="775"/>
      <c r="P188" s="775"/>
      <c r="Q188" s="758"/>
      <c r="R188" s="758"/>
      <c r="S188" s="758"/>
      <c r="T188" s="758"/>
      <c r="U188" s="758"/>
      <c r="V188" s="758"/>
      <c r="W188" s="758"/>
      <c r="X188" s="758"/>
      <c r="Y188" s="758"/>
      <c r="Z188" s="758"/>
      <c r="AA188" s="758"/>
      <c r="AB188" s="758"/>
      <c r="AC188" s="758"/>
      <c r="AD188" s="758"/>
      <c r="AE188" s="758"/>
      <c r="AF188" s="758"/>
      <c r="AG188" s="758"/>
      <c r="AH188" s="758"/>
      <c r="AI188" s="758"/>
      <c r="AJ188" s="758"/>
      <c r="AK188" s="758"/>
      <c r="AL188" s="758"/>
      <c r="AM188" s="758"/>
      <c r="AN188" s="758"/>
      <c r="AO188" s="758"/>
      <c r="CI188" s="753"/>
      <c r="CJ188" s="753"/>
      <c r="CK188" s="753"/>
      <c r="CL188" s="753"/>
      <c r="CM188" s="753"/>
      <c r="CN188" s="753"/>
      <c r="CO188" s="753"/>
      <c r="CP188" s="753"/>
      <c r="CQ188" s="753"/>
      <c r="CR188" s="753"/>
      <c r="CS188" s="753"/>
      <c r="CT188" s="753"/>
      <c r="CU188" s="753"/>
      <c r="CV188" s="753"/>
      <c r="CW188" s="753"/>
      <c r="CX188" s="753"/>
      <c r="CY188" s="753"/>
      <c r="CZ188" s="753"/>
      <c r="DA188" s="753"/>
      <c r="DB188" s="753"/>
      <c r="DC188" s="753"/>
      <c r="DD188" s="753"/>
      <c r="DE188" s="753"/>
      <c r="DF188" s="753"/>
      <c r="DG188" s="753"/>
      <c r="DH188" s="776"/>
      <c r="DI188" s="758"/>
    </row>
    <row r="189" spans="1:113">
      <c r="A189" s="806"/>
      <c r="B189" s="780"/>
      <c r="C189" s="780"/>
      <c r="D189" s="780"/>
      <c r="E189" s="780"/>
      <c r="F189" s="780"/>
      <c r="G189" s="780"/>
      <c r="H189" s="780"/>
      <c r="I189" s="788"/>
      <c r="J189" s="753"/>
      <c r="K189" s="753"/>
      <c r="L189" s="753"/>
      <c r="M189" s="767"/>
      <c r="N189" s="779"/>
      <c r="O189" s="775"/>
      <c r="P189" s="758"/>
      <c r="Q189" s="758"/>
      <c r="R189" s="758"/>
      <c r="S189" s="758"/>
      <c r="T189" s="758"/>
      <c r="U189" s="758"/>
      <c r="V189" s="758"/>
      <c r="W189" s="758"/>
      <c r="X189" s="758"/>
      <c r="Y189" s="758"/>
      <c r="Z189" s="758"/>
      <c r="AA189" s="758"/>
      <c r="AB189" s="758"/>
      <c r="AC189" s="758"/>
      <c r="AD189" s="758"/>
      <c r="AE189" s="758"/>
      <c r="AF189" s="758"/>
      <c r="AG189" s="758"/>
      <c r="AH189" s="758"/>
      <c r="AI189" s="758"/>
      <c r="AJ189" s="758"/>
      <c r="AK189" s="758"/>
      <c r="AL189" s="758"/>
      <c r="AM189" s="758"/>
      <c r="AN189" s="758"/>
      <c r="AO189" s="758"/>
      <c r="CI189" s="753"/>
      <c r="CJ189" s="753"/>
      <c r="CK189" s="753"/>
      <c r="CL189" s="753"/>
      <c r="CM189" s="753"/>
      <c r="CN189" s="753"/>
      <c r="CO189" s="753"/>
      <c r="CP189" s="753"/>
      <c r="CQ189" s="753"/>
      <c r="CR189" s="753"/>
      <c r="CS189" s="753"/>
      <c r="CT189" s="753"/>
      <c r="CU189" s="753"/>
      <c r="CV189" s="753"/>
      <c r="CW189" s="753"/>
      <c r="CX189" s="753"/>
      <c r="CY189" s="753"/>
      <c r="CZ189" s="753"/>
      <c r="DA189" s="753"/>
      <c r="DB189" s="753"/>
      <c r="DC189" s="753"/>
      <c r="DD189" s="753"/>
      <c r="DE189" s="753"/>
      <c r="DF189" s="753"/>
      <c r="DG189" s="753"/>
      <c r="DH189" s="776"/>
      <c r="DI189" s="779"/>
    </row>
    <row r="190" spans="1:113" ht="15.75">
      <c r="A190" s="794"/>
      <c r="B190" s="800"/>
      <c r="C190" s="780"/>
      <c r="D190" s="780"/>
      <c r="E190" s="780"/>
      <c r="F190" s="780"/>
      <c r="G190" s="780"/>
      <c r="H190" s="797"/>
      <c r="I190" s="787"/>
      <c r="J190" s="753"/>
      <c r="K190" s="753"/>
      <c r="L190" s="753"/>
      <c r="M190" s="767"/>
      <c r="N190" s="807"/>
      <c r="O190" s="775"/>
      <c r="P190" s="775"/>
      <c r="Q190" s="758"/>
      <c r="R190" s="758"/>
      <c r="S190" s="758"/>
      <c r="T190" s="758"/>
      <c r="U190" s="758"/>
      <c r="V190" s="758"/>
      <c r="W190" s="758"/>
      <c r="X190" s="758"/>
      <c r="Y190" s="758"/>
      <c r="Z190" s="758"/>
      <c r="AA190" s="758"/>
      <c r="AB190" s="758"/>
      <c r="AC190" s="758"/>
      <c r="AD190" s="758"/>
      <c r="AE190" s="758"/>
      <c r="AF190" s="758"/>
      <c r="AG190" s="758"/>
      <c r="AH190" s="758"/>
      <c r="AI190" s="758"/>
      <c r="AJ190" s="758"/>
      <c r="AK190" s="758"/>
      <c r="AL190" s="758"/>
      <c r="AM190" s="758"/>
      <c r="AN190" s="758"/>
      <c r="AO190" s="758"/>
      <c r="CI190" s="753"/>
      <c r="CJ190" s="753"/>
      <c r="CK190" s="753"/>
      <c r="CL190" s="753"/>
      <c r="CM190" s="753"/>
      <c r="CN190" s="753"/>
      <c r="CO190" s="753"/>
      <c r="CP190" s="753"/>
      <c r="CQ190" s="753"/>
      <c r="CR190" s="753"/>
      <c r="CS190" s="753"/>
      <c r="CT190" s="753"/>
      <c r="CU190" s="753"/>
      <c r="CV190" s="753"/>
      <c r="CW190" s="753"/>
      <c r="CX190" s="753"/>
      <c r="CY190" s="753"/>
      <c r="CZ190" s="753"/>
      <c r="DA190" s="753"/>
      <c r="DB190" s="753"/>
      <c r="DC190" s="753"/>
      <c r="DD190" s="753"/>
      <c r="DE190" s="753"/>
      <c r="DF190" s="753"/>
      <c r="DG190" s="753"/>
      <c r="DH190" s="776"/>
      <c r="DI190" s="781"/>
    </row>
    <row r="191" spans="1:113" ht="15.75">
      <c r="A191" s="794"/>
      <c r="B191" s="800"/>
      <c r="C191" s="780"/>
      <c r="D191" s="780"/>
      <c r="E191" s="780"/>
      <c r="F191" s="780"/>
      <c r="G191" s="773"/>
      <c r="H191" s="797"/>
      <c r="I191" s="787"/>
      <c r="J191" s="753"/>
      <c r="K191" s="753"/>
      <c r="L191" s="753"/>
      <c r="M191" s="767"/>
      <c r="N191" s="779"/>
      <c r="O191" s="775"/>
      <c r="P191" s="758"/>
      <c r="Q191" s="758"/>
      <c r="R191" s="758"/>
      <c r="S191" s="758"/>
      <c r="T191" s="758"/>
      <c r="U191" s="758"/>
      <c r="V191" s="758"/>
      <c r="W191" s="758"/>
      <c r="X191" s="758"/>
      <c r="Y191" s="758"/>
      <c r="Z191" s="758"/>
      <c r="AA191" s="758"/>
      <c r="AB191" s="758"/>
      <c r="AC191" s="758"/>
      <c r="AD191" s="758"/>
      <c r="AE191" s="758"/>
      <c r="AF191" s="758"/>
      <c r="AG191" s="758"/>
      <c r="AH191" s="758"/>
      <c r="AI191" s="758"/>
      <c r="AJ191" s="758"/>
      <c r="AK191" s="758"/>
      <c r="AL191" s="758"/>
      <c r="AM191" s="758"/>
      <c r="AN191" s="758"/>
      <c r="AO191" s="758"/>
      <c r="CI191" s="753"/>
      <c r="CJ191" s="753"/>
      <c r="CK191" s="753"/>
      <c r="CL191" s="753"/>
      <c r="CM191" s="753"/>
      <c r="CN191" s="753"/>
      <c r="CO191" s="753"/>
      <c r="CP191" s="753"/>
      <c r="CQ191" s="753"/>
      <c r="CR191" s="753"/>
      <c r="CS191" s="753"/>
      <c r="CT191" s="753"/>
      <c r="CU191" s="753"/>
      <c r="CV191" s="753"/>
      <c r="CW191" s="753"/>
      <c r="CX191" s="753"/>
      <c r="CY191" s="753"/>
      <c r="CZ191" s="753"/>
      <c r="DA191" s="753"/>
      <c r="DB191" s="753"/>
      <c r="DC191" s="753"/>
      <c r="DD191" s="753"/>
      <c r="DE191" s="753"/>
      <c r="DF191" s="753"/>
      <c r="DG191" s="753"/>
      <c r="DH191" s="776"/>
      <c r="DI191" s="779"/>
    </row>
    <row r="192" spans="1:113">
      <c r="A192" s="780"/>
      <c r="B192" s="774"/>
      <c r="C192" s="804"/>
      <c r="D192" s="804"/>
      <c r="E192" s="773"/>
      <c r="F192" s="780"/>
      <c r="G192" s="780"/>
      <c r="H192" s="798"/>
      <c r="I192" s="816"/>
      <c r="J192" s="753"/>
      <c r="K192" s="753"/>
      <c r="L192" s="753"/>
      <c r="M192" s="767"/>
      <c r="N192" s="779"/>
      <c r="O192" s="775"/>
      <c r="P192" s="775"/>
      <c r="Q192" s="758"/>
      <c r="R192" s="758"/>
      <c r="S192" s="758"/>
      <c r="T192" s="758"/>
      <c r="U192" s="758"/>
      <c r="V192" s="758"/>
      <c r="W192" s="758"/>
      <c r="X192" s="758"/>
      <c r="Y192" s="758"/>
      <c r="Z192" s="758"/>
      <c r="AA192" s="758"/>
      <c r="AB192" s="758"/>
      <c r="AC192" s="758"/>
      <c r="AD192" s="758"/>
      <c r="AE192" s="758"/>
      <c r="AF192" s="758"/>
      <c r="AG192" s="758"/>
      <c r="AH192" s="758"/>
      <c r="AI192" s="758"/>
      <c r="AJ192" s="758"/>
      <c r="AK192" s="758"/>
      <c r="AL192" s="758"/>
      <c r="AM192" s="758"/>
      <c r="AN192" s="758"/>
      <c r="AO192" s="758"/>
      <c r="CI192" s="753"/>
      <c r="CJ192" s="753"/>
      <c r="CK192" s="753"/>
      <c r="CL192" s="753"/>
      <c r="CM192" s="753"/>
      <c r="CN192" s="753"/>
      <c r="CO192" s="753"/>
      <c r="CP192" s="753"/>
      <c r="CQ192" s="753"/>
      <c r="CR192" s="753"/>
      <c r="CS192" s="753"/>
      <c r="CT192" s="753"/>
      <c r="CU192" s="753"/>
      <c r="CV192" s="753"/>
      <c r="CW192" s="753"/>
      <c r="CX192" s="753"/>
      <c r="CY192" s="753"/>
      <c r="CZ192" s="753"/>
      <c r="DA192" s="753"/>
      <c r="DB192" s="753"/>
      <c r="DC192" s="753"/>
      <c r="DD192" s="753"/>
      <c r="DE192" s="753"/>
      <c r="DF192" s="753"/>
      <c r="DG192" s="753"/>
      <c r="DH192" s="776"/>
      <c r="DI192" s="758"/>
    </row>
    <row r="193" spans="1:113">
      <c r="A193" s="780"/>
      <c r="B193" s="780"/>
      <c r="C193" s="780"/>
      <c r="D193" s="780"/>
      <c r="E193" s="780"/>
      <c r="F193" s="780"/>
      <c r="G193" s="780"/>
      <c r="H193" s="780"/>
      <c r="I193" s="780"/>
      <c r="J193" s="753"/>
      <c r="K193" s="753"/>
      <c r="L193" s="753"/>
      <c r="M193" s="753"/>
      <c r="N193" s="758"/>
      <c r="O193" s="758"/>
      <c r="P193" s="775"/>
      <c r="Q193" s="758"/>
      <c r="R193" s="758"/>
      <c r="S193" s="758"/>
      <c r="T193" s="758"/>
      <c r="U193" s="758"/>
      <c r="V193" s="758"/>
      <c r="W193" s="758"/>
      <c r="X193" s="758"/>
      <c r="Y193" s="758"/>
      <c r="Z193" s="758"/>
      <c r="AA193" s="758"/>
      <c r="AB193" s="758"/>
      <c r="AC193" s="758"/>
      <c r="AD193" s="758"/>
      <c r="AE193" s="758"/>
      <c r="AF193" s="758"/>
      <c r="AG193" s="758"/>
      <c r="AH193" s="758"/>
      <c r="AI193" s="758"/>
      <c r="AJ193" s="758"/>
      <c r="AK193" s="758"/>
      <c r="AL193" s="758"/>
      <c r="AM193" s="758"/>
      <c r="AN193" s="758"/>
      <c r="AO193" s="758"/>
      <c r="CI193" s="753"/>
      <c r="CJ193" s="753"/>
      <c r="CK193" s="753"/>
      <c r="CL193" s="753"/>
      <c r="CM193" s="753"/>
      <c r="CN193" s="753"/>
      <c r="CO193" s="753"/>
      <c r="CP193" s="753"/>
      <c r="CQ193" s="753"/>
      <c r="CR193" s="753"/>
      <c r="CS193" s="753"/>
      <c r="CT193" s="753"/>
      <c r="CU193" s="753"/>
      <c r="CV193" s="753"/>
      <c r="CW193" s="753"/>
      <c r="CX193" s="753"/>
      <c r="CY193" s="753"/>
      <c r="CZ193" s="753"/>
      <c r="DA193" s="753"/>
      <c r="DB193" s="753"/>
      <c r="DC193" s="753"/>
      <c r="DD193" s="753"/>
      <c r="DE193" s="753"/>
      <c r="DF193" s="753"/>
      <c r="DG193" s="753"/>
      <c r="DH193" s="776"/>
      <c r="DI193" s="758"/>
    </row>
    <row r="194" spans="1:113">
      <c r="A194" s="796"/>
      <c r="B194" s="800"/>
      <c r="C194" s="804"/>
      <c r="D194" s="804"/>
      <c r="E194" s="773"/>
      <c r="F194" s="773"/>
      <c r="G194" s="780"/>
      <c r="H194" s="801"/>
      <c r="I194" s="764"/>
      <c r="J194" s="753"/>
      <c r="K194" s="753"/>
      <c r="L194" s="753"/>
      <c r="M194" s="767"/>
      <c r="N194" s="779"/>
      <c r="O194" s="775"/>
      <c r="P194" s="775"/>
      <c r="Q194" s="758"/>
      <c r="R194" s="758"/>
      <c r="S194" s="758"/>
      <c r="T194" s="758"/>
      <c r="U194" s="758"/>
      <c r="V194" s="758"/>
      <c r="W194" s="758"/>
      <c r="X194" s="758"/>
      <c r="Y194" s="758"/>
      <c r="Z194" s="758"/>
      <c r="AA194" s="758"/>
      <c r="AB194" s="758"/>
      <c r="AC194" s="758"/>
      <c r="AD194" s="758"/>
      <c r="AE194" s="758"/>
      <c r="AF194" s="758"/>
      <c r="AG194" s="758"/>
      <c r="AH194" s="758"/>
      <c r="AI194" s="758"/>
      <c r="AJ194" s="758"/>
      <c r="AK194" s="758"/>
      <c r="AL194" s="758"/>
      <c r="AM194" s="758"/>
      <c r="AN194" s="758"/>
      <c r="AO194" s="758"/>
      <c r="CI194" s="753"/>
      <c r="CJ194" s="753"/>
      <c r="CK194" s="753"/>
      <c r="CL194" s="753"/>
      <c r="CM194" s="753"/>
      <c r="CN194" s="753"/>
      <c r="CO194" s="753"/>
      <c r="CP194" s="753"/>
      <c r="CQ194" s="753"/>
      <c r="CR194" s="753"/>
      <c r="CS194" s="753"/>
      <c r="CT194" s="753"/>
      <c r="CU194" s="753"/>
      <c r="CV194" s="753"/>
      <c r="CW194" s="753"/>
      <c r="CX194" s="753"/>
      <c r="CY194" s="753"/>
      <c r="CZ194" s="753"/>
      <c r="DA194" s="753"/>
      <c r="DB194" s="753"/>
      <c r="DC194" s="753"/>
      <c r="DD194" s="753"/>
      <c r="DE194" s="753"/>
      <c r="DF194" s="753"/>
      <c r="DG194" s="753"/>
      <c r="DH194" s="776"/>
      <c r="DI194" s="758"/>
    </row>
    <row r="195" spans="1:113">
      <c r="A195" s="798"/>
      <c r="B195" s="800"/>
      <c r="C195" s="809"/>
      <c r="D195" s="804"/>
      <c r="E195" s="780"/>
      <c r="F195" s="780"/>
      <c r="G195" s="780"/>
      <c r="H195" s="780"/>
      <c r="I195" s="788"/>
      <c r="J195" s="753"/>
      <c r="K195" s="753"/>
      <c r="L195" s="753"/>
      <c r="M195" s="767"/>
      <c r="N195" s="781"/>
      <c r="O195" s="775"/>
      <c r="P195" s="775"/>
      <c r="Q195" s="758"/>
      <c r="R195" s="758"/>
      <c r="S195" s="758"/>
      <c r="T195" s="758"/>
      <c r="U195" s="758"/>
      <c r="V195" s="758"/>
      <c r="W195" s="758"/>
      <c r="X195" s="758"/>
      <c r="Y195" s="758"/>
      <c r="Z195" s="758"/>
      <c r="AA195" s="758"/>
      <c r="AB195" s="758"/>
      <c r="AC195" s="758"/>
      <c r="AD195" s="758"/>
      <c r="AE195" s="758"/>
      <c r="AF195" s="758"/>
      <c r="AG195" s="758"/>
      <c r="AH195" s="758"/>
      <c r="AI195" s="758"/>
      <c r="AJ195" s="758"/>
      <c r="AK195" s="758"/>
      <c r="AL195" s="758"/>
      <c r="AM195" s="758"/>
      <c r="AN195" s="758"/>
      <c r="AO195" s="758"/>
      <c r="CI195" s="753"/>
      <c r="CJ195" s="753"/>
      <c r="CK195" s="753"/>
      <c r="CL195" s="753"/>
      <c r="CM195" s="753"/>
      <c r="CN195" s="753"/>
      <c r="CO195" s="753"/>
      <c r="CP195" s="753"/>
      <c r="CQ195" s="753"/>
      <c r="CR195" s="753"/>
      <c r="CS195" s="753"/>
      <c r="CT195" s="753"/>
      <c r="CU195" s="753"/>
      <c r="CV195" s="753"/>
      <c r="CW195" s="753"/>
      <c r="CX195" s="753"/>
      <c r="CY195" s="753"/>
      <c r="CZ195" s="753"/>
      <c r="DA195" s="753"/>
      <c r="DB195" s="753"/>
      <c r="DC195" s="753"/>
      <c r="DD195" s="753"/>
      <c r="DE195" s="753"/>
      <c r="DF195" s="753"/>
      <c r="DG195" s="753"/>
      <c r="DH195" s="776"/>
      <c r="DI195" s="758"/>
    </row>
    <row r="196" spans="1:113">
      <c r="A196" s="798"/>
      <c r="B196" s="800"/>
      <c r="C196" s="804"/>
      <c r="D196" s="804"/>
      <c r="E196" s="773"/>
      <c r="F196" s="773"/>
      <c r="G196" s="773"/>
      <c r="H196" s="773"/>
      <c r="I196" s="764"/>
      <c r="J196" s="753"/>
      <c r="K196" s="753"/>
      <c r="L196" s="753"/>
      <c r="M196" s="782"/>
      <c r="N196" s="781"/>
      <c r="O196" s="775"/>
      <c r="P196" s="783"/>
      <c r="Q196" s="758"/>
      <c r="R196" s="758"/>
      <c r="S196" s="758"/>
      <c r="T196" s="758"/>
      <c r="U196" s="758"/>
      <c r="V196" s="758"/>
      <c r="W196" s="758"/>
      <c r="X196" s="758"/>
      <c r="Y196" s="758"/>
      <c r="Z196" s="758"/>
      <c r="AA196" s="758"/>
      <c r="AB196" s="758"/>
      <c r="AC196" s="758"/>
      <c r="AD196" s="758"/>
      <c r="AE196" s="758"/>
      <c r="AF196" s="758"/>
      <c r="AG196" s="758"/>
      <c r="AH196" s="758"/>
      <c r="AI196" s="758"/>
      <c r="AJ196" s="758"/>
      <c r="AK196" s="758"/>
      <c r="AL196" s="758"/>
      <c r="AM196" s="758"/>
      <c r="AN196" s="758"/>
      <c r="AO196" s="758"/>
      <c r="CI196" s="753"/>
      <c r="CJ196" s="753"/>
      <c r="CK196" s="753"/>
      <c r="CL196" s="753"/>
      <c r="CM196" s="753"/>
      <c r="CN196" s="753"/>
      <c r="CO196" s="753"/>
      <c r="CP196" s="753"/>
      <c r="CQ196" s="753"/>
      <c r="CR196" s="753"/>
      <c r="CS196" s="753"/>
      <c r="CT196" s="753"/>
      <c r="CU196" s="753"/>
      <c r="CV196" s="753"/>
      <c r="CW196" s="753"/>
      <c r="CX196" s="753"/>
      <c r="CY196" s="753"/>
      <c r="CZ196" s="753"/>
      <c r="DA196" s="753"/>
      <c r="DB196" s="753"/>
      <c r="DC196" s="753"/>
      <c r="DD196" s="753"/>
      <c r="DE196" s="753"/>
      <c r="DF196" s="753"/>
      <c r="DG196" s="753"/>
      <c r="DH196" s="776"/>
      <c r="DI196" s="758"/>
    </row>
    <row r="197" spans="1:113">
      <c r="A197" s="798"/>
      <c r="B197" s="800"/>
      <c r="C197" s="804"/>
      <c r="D197" s="804"/>
      <c r="E197" s="780"/>
      <c r="F197" s="780"/>
      <c r="G197" s="780"/>
      <c r="H197" s="801"/>
      <c r="I197" s="764"/>
      <c r="J197" s="753"/>
      <c r="K197" s="753"/>
      <c r="L197" s="753"/>
      <c r="M197" s="782"/>
      <c r="N197" s="781"/>
      <c r="O197" s="775"/>
      <c r="P197" s="783"/>
      <c r="Q197" s="758"/>
      <c r="R197" s="758"/>
      <c r="S197" s="758"/>
      <c r="T197" s="758"/>
      <c r="U197" s="758"/>
      <c r="V197" s="758"/>
      <c r="W197" s="758"/>
      <c r="X197" s="758"/>
      <c r="Y197" s="758"/>
      <c r="Z197" s="758"/>
      <c r="AA197" s="758"/>
      <c r="AB197" s="758"/>
      <c r="AC197" s="758"/>
      <c r="AD197" s="758"/>
      <c r="AE197" s="758"/>
      <c r="AF197" s="758"/>
      <c r="AG197" s="758"/>
      <c r="AH197" s="758"/>
      <c r="AI197" s="758"/>
      <c r="AJ197" s="758"/>
      <c r="AK197" s="758"/>
      <c r="AL197" s="758"/>
      <c r="AM197" s="758"/>
      <c r="AN197" s="758"/>
      <c r="AO197" s="758"/>
      <c r="CI197" s="753"/>
      <c r="CJ197" s="753"/>
      <c r="CK197" s="753"/>
      <c r="CL197" s="753"/>
      <c r="CM197" s="753"/>
      <c r="CN197" s="753"/>
      <c r="CO197" s="753"/>
      <c r="CP197" s="753"/>
      <c r="CQ197" s="753"/>
      <c r="CR197" s="753"/>
      <c r="CS197" s="753"/>
      <c r="CT197" s="753"/>
      <c r="CU197" s="753"/>
      <c r="CV197" s="753"/>
      <c r="CW197" s="753"/>
      <c r="CX197" s="753"/>
      <c r="CY197" s="753"/>
      <c r="CZ197" s="753"/>
      <c r="DA197" s="753"/>
      <c r="DB197" s="753"/>
      <c r="DC197" s="753"/>
      <c r="DD197" s="753"/>
      <c r="DE197" s="753"/>
      <c r="DF197" s="753"/>
      <c r="DG197" s="753"/>
      <c r="DH197" s="776"/>
      <c r="DI197" s="758"/>
    </row>
    <row r="198" spans="1:113">
      <c r="A198" s="798"/>
      <c r="B198" s="800"/>
      <c r="C198" s="804"/>
      <c r="D198" s="804"/>
      <c r="E198" s="773"/>
      <c r="F198" s="773"/>
      <c r="G198" s="773"/>
      <c r="H198" s="773"/>
      <c r="I198" s="764"/>
      <c r="J198" s="753"/>
      <c r="K198" s="753"/>
      <c r="L198" s="753"/>
      <c r="M198" s="753"/>
      <c r="N198" s="758"/>
      <c r="O198" s="758"/>
      <c r="P198" s="775"/>
      <c r="Q198" s="758"/>
      <c r="R198" s="758"/>
      <c r="S198" s="758"/>
      <c r="T198" s="758"/>
      <c r="U198" s="758"/>
      <c r="V198" s="758"/>
      <c r="W198" s="758"/>
      <c r="X198" s="758"/>
      <c r="Y198" s="758"/>
      <c r="Z198" s="758"/>
      <c r="AA198" s="758"/>
      <c r="AB198" s="758"/>
      <c r="AC198" s="758"/>
      <c r="AD198" s="758"/>
      <c r="AE198" s="758"/>
      <c r="AF198" s="758"/>
      <c r="AG198" s="758"/>
      <c r="AH198" s="758"/>
      <c r="AI198" s="758"/>
      <c r="AJ198" s="758"/>
      <c r="AK198" s="758"/>
      <c r="AL198" s="758"/>
      <c r="AM198" s="758"/>
      <c r="AN198" s="758"/>
      <c r="AO198" s="758"/>
      <c r="CI198" s="753"/>
      <c r="CJ198" s="753"/>
      <c r="CK198" s="753"/>
      <c r="CL198" s="753"/>
      <c r="CM198" s="753"/>
      <c r="CN198" s="753"/>
      <c r="CO198" s="753"/>
      <c r="CP198" s="753"/>
      <c r="CQ198" s="753"/>
      <c r="CR198" s="753"/>
      <c r="CS198" s="753"/>
      <c r="CT198" s="753"/>
      <c r="CU198" s="753"/>
      <c r="CV198" s="753"/>
      <c r="CW198" s="753"/>
      <c r="CX198" s="753"/>
      <c r="CY198" s="753"/>
      <c r="CZ198" s="753"/>
      <c r="DA198" s="753"/>
      <c r="DB198" s="753"/>
      <c r="DC198" s="753"/>
      <c r="DD198" s="753"/>
      <c r="DE198" s="753"/>
      <c r="DF198" s="753"/>
      <c r="DG198" s="753"/>
      <c r="DH198" s="776"/>
      <c r="DI198" s="758"/>
    </row>
    <row r="199" spans="1:113">
      <c r="A199" s="798"/>
      <c r="B199" s="800"/>
      <c r="C199" s="804"/>
      <c r="D199" s="804"/>
      <c r="E199" s="773"/>
      <c r="F199" s="773"/>
      <c r="G199" s="773"/>
      <c r="H199" s="797"/>
      <c r="I199" s="787"/>
      <c r="J199" s="753"/>
      <c r="K199" s="753"/>
      <c r="L199" s="753"/>
      <c r="M199" s="767"/>
      <c r="N199" s="781"/>
      <c r="O199" s="775"/>
      <c r="P199" s="775"/>
      <c r="Q199" s="758"/>
      <c r="R199" s="758"/>
      <c r="S199" s="758"/>
      <c r="T199" s="758"/>
      <c r="U199" s="758"/>
      <c r="V199" s="758"/>
      <c r="W199" s="758"/>
      <c r="X199" s="758"/>
      <c r="Y199" s="758"/>
      <c r="Z199" s="758"/>
      <c r="AA199" s="758"/>
      <c r="AB199" s="758"/>
      <c r="AC199" s="758"/>
      <c r="AD199" s="758"/>
      <c r="AE199" s="758"/>
      <c r="AF199" s="758"/>
      <c r="AG199" s="758"/>
      <c r="AH199" s="758"/>
      <c r="CI199" s="753"/>
      <c r="CJ199" s="753"/>
      <c r="CK199" s="753"/>
      <c r="CL199" s="753"/>
      <c r="CM199" s="753"/>
      <c r="CN199" s="753"/>
      <c r="CO199" s="753"/>
      <c r="CP199" s="753"/>
      <c r="CQ199" s="753"/>
      <c r="CR199" s="753"/>
      <c r="CS199" s="753"/>
      <c r="CT199" s="753"/>
      <c r="CU199" s="753"/>
      <c r="CV199" s="753"/>
      <c r="CW199" s="753"/>
      <c r="CX199" s="753"/>
      <c r="CY199" s="753"/>
      <c r="CZ199" s="753"/>
      <c r="DA199" s="753"/>
      <c r="DB199" s="753"/>
      <c r="DC199" s="753"/>
      <c r="DD199" s="753"/>
      <c r="DE199" s="753"/>
      <c r="DF199" s="753"/>
      <c r="DG199" s="753"/>
      <c r="DH199" s="776"/>
      <c r="DI199" s="758"/>
    </row>
    <row r="200" spans="1:113">
      <c r="A200" s="784"/>
      <c r="B200" s="817"/>
      <c r="C200" s="773"/>
      <c r="D200" s="818"/>
      <c r="E200" s="780"/>
      <c r="F200" s="780"/>
      <c r="G200" s="780"/>
      <c r="H200" s="780"/>
      <c r="I200" s="780"/>
      <c r="J200" s="753"/>
      <c r="K200" s="753"/>
      <c r="L200" s="753"/>
      <c r="M200" s="767"/>
      <c r="N200" s="779"/>
      <c r="O200" s="775"/>
      <c r="P200" s="775"/>
      <c r="Q200" s="758"/>
      <c r="R200" s="758"/>
      <c r="S200" s="758"/>
      <c r="T200" s="758"/>
      <c r="U200" s="758"/>
      <c r="V200" s="758"/>
      <c r="W200" s="758"/>
      <c r="X200" s="758"/>
      <c r="Y200" s="758"/>
      <c r="Z200" s="758"/>
      <c r="AA200" s="758"/>
      <c r="AB200" s="758"/>
      <c r="AC200" s="758"/>
      <c r="AD200" s="758"/>
      <c r="AE200" s="758"/>
      <c r="AF200" s="758"/>
      <c r="AG200" s="758"/>
      <c r="AH200" s="758"/>
      <c r="CI200" s="753"/>
      <c r="CJ200" s="753"/>
      <c r="CK200" s="753"/>
      <c r="CL200" s="753"/>
      <c r="CM200" s="753"/>
      <c r="CN200" s="753"/>
      <c r="CO200" s="753"/>
      <c r="CP200" s="753"/>
      <c r="CQ200" s="753"/>
      <c r="CR200" s="753"/>
      <c r="CS200" s="753"/>
      <c r="CT200" s="753"/>
      <c r="CU200" s="753"/>
      <c r="CV200" s="753"/>
      <c r="CW200" s="753"/>
      <c r="CX200" s="753"/>
      <c r="CY200" s="753"/>
      <c r="CZ200" s="753"/>
      <c r="DA200" s="753"/>
      <c r="DB200" s="753"/>
      <c r="DC200" s="753"/>
      <c r="DD200" s="753"/>
      <c r="DE200" s="753"/>
      <c r="DF200" s="753"/>
      <c r="DG200" s="753"/>
      <c r="DH200" s="776"/>
      <c r="DI200" s="758"/>
    </row>
    <row r="201" spans="1:113">
      <c r="A201" s="784"/>
      <c r="B201" s="774"/>
      <c r="C201" s="804"/>
      <c r="D201" s="804"/>
      <c r="E201" s="770"/>
      <c r="F201" s="780"/>
      <c r="G201" s="780"/>
      <c r="H201" s="780"/>
      <c r="I201" s="773"/>
      <c r="J201" s="753"/>
      <c r="K201" s="753"/>
      <c r="L201" s="753"/>
      <c r="M201" s="767"/>
      <c r="N201" s="779"/>
      <c r="O201" s="775"/>
      <c r="P201" s="775"/>
      <c r="Q201" s="758"/>
      <c r="R201" s="758"/>
      <c r="S201" s="758"/>
      <c r="T201" s="758"/>
      <c r="U201" s="758"/>
      <c r="V201" s="758"/>
      <c r="W201" s="758"/>
      <c r="X201" s="758"/>
      <c r="Y201" s="758"/>
      <c r="Z201" s="758"/>
      <c r="AA201" s="758"/>
      <c r="AB201" s="758"/>
      <c r="AC201" s="758"/>
      <c r="AD201" s="758"/>
      <c r="AE201" s="758"/>
      <c r="AF201" s="758"/>
      <c r="AG201" s="758"/>
      <c r="AH201" s="758"/>
      <c r="CI201" s="753"/>
      <c r="CJ201" s="753"/>
      <c r="CK201" s="753"/>
      <c r="CL201" s="753"/>
      <c r="CM201" s="753"/>
      <c r="CN201" s="753"/>
      <c r="CO201" s="753"/>
      <c r="CP201" s="753"/>
      <c r="CQ201" s="753"/>
      <c r="CR201" s="753"/>
      <c r="CS201" s="753"/>
      <c r="CT201" s="753"/>
      <c r="CU201" s="753"/>
      <c r="CV201" s="753"/>
      <c r="CW201" s="753"/>
      <c r="CX201" s="753"/>
      <c r="CY201" s="753"/>
      <c r="CZ201" s="753"/>
      <c r="DA201" s="753"/>
      <c r="DB201" s="753"/>
      <c r="DC201" s="753"/>
      <c r="DD201" s="753"/>
      <c r="DE201" s="753"/>
      <c r="DF201" s="753"/>
      <c r="DG201" s="753"/>
      <c r="DH201" s="776"/>
      <c r="DI201" s="758"/>
    </row>
    <row r="202" spans="1:113">
      <c r="A202" s="784"/>
      <c r="B202" s="819"/>
      <c r="C202" s="804"/>
      <c r="D202" s="804"/>
      <c r="E202" s="770"/>
      <c r="F202" s="780"/>
      <c r="G202" s="780"/>
      <c r="H202" s="780"/>
      <c r="I202" s="773"/>
      <c r="J202" s="753"/>
      <c r="K202" s="753"/>
      <c r="L202" s="753"/>
      <c r="M202" s="753"/>
      <c r="N202" s="758"/>
      <c r="O202" s="758"/>
      <c r="P202" s="775"/>
      <c r="Q202" s="758"/>
      <c r="R202" s="758"/>
      <c r="S202" s="758"/>
      <c r="T202" s="758"/>
      <c r="U202" s="758"/>
      <c r="V202" s="758"/>
      <c r="W202" s="758"/>
      <c r="X202" s="758"/>
      <c r="Y202" s="758"/>
      <c r="Z202" s="758"/>
      <c r="AA202" s="758"/>
      <c r="AB202" s="758"/>
      <c r="AC202" s="758"/>
      <c r="AD202" s="758"/>
      <c r="AE202" s="758"/>
      <c r="AF202" s="758"/>
      <c r="AG202" s="758"/>
      <c r="AH202" s="758"/>
      <c r="CI202" s="753"/>
      <c r="CJ202" s="753"/>
      <c r="CK202" s="753"/>
      <c r="CL202" s="753"/>
      <c r="CM202" s="753"/>
      <c r="CN202" s="753"/>
      <c r="CO202" s="753"/>
      <c r="CP202" s="753"/>
      <c r="CQ202" s="753"/>
      <c r="CR202" s="753"/>
      <c r="CS202" s="753"/>
      <c r="CT202" s="753"/>
      <c r="CU202" s="753"/>
      <c r="CV202" s="753"/>
      <c r="CW202" s="753"/>
      <c r="CX202" s="753"/>
      <c r="CY202" s="753"/>
      <c r="CZ202" s="753"/>
      <c r="DA202" s="753"/>
      <c r="DB202" s="753"/>
      <c r="DC202" s="753"/>
      <c r="DD202" s="753"/>
      <c r="DE202" s="753"/>
      <c r="DF202" s="753"/>
      <c r="DG202" s="753"/>
      <c r="DH202" s="776"/>
      <c r="DI202" s="758"/>
    </row>
    <row r="203" spans="1:113">
      <c r="A203" s="806"/>
      <c r="B203" s="800"/>
      <c r="C203" s="804"/>
      <c r="D203" s="805"/>
      <c r="E203" s="802"/>
      <c r="F203" s="780"/>
      <c r="G203" s="780"/>
      <c r="H203" s="780"/>
      <c r="I203" s="780"/>
      <c r="J203" s="753"/>
      <c r="K203" s="753"/>
      <c r="L203" s="753"/>
      <c r="M203" s="767"/>
      <c r="N203" s="781"/>
      <c r="O203" s="775"/>
      <c r="P203" s="775"/>
      <c r="Q203" s="758"/>
      <c r="R203" s="758"/>
      <c r="S203" s="758"/>
      <c r="T203" s="758"/>
      <c r="U203" s="758"/>
      <c r="V203" s="758"/>
      <c r="W203" s="758"/>
      <c r="X203" s="758"/>
      <c r="Y203" s="758"/>
      <c r="Z203" s="758"/>
      <c r="AA203" s="758"/>
      <c r="AB203" s="758"/>
      <c r="AC203" s="758"/>
      <c r="AD203" s="758"/>
      <c r="AE203" s="758"/>
      <c r="AF203" s="758"/>
      <c r="AG203" s="758"/>
      <c r="AH203" s="758"/>
      <c r="CI203" s="753"/>
      <c r="CJ203" s="753"/>
      <c r="CK203" s="753"/>
      <c r="CL203" s="753"/>
      <c r="CM203" s="753"/>
      <c r="CN203" s="753"/>
      <c r="CO203" s="753"/>
      <c r="CP203" s="753"/>
      <c r="CQ203" s="753"/>
      <c r="CR203" s="753"/>
      <c r="CS203" s="753"/>
      <c r="CT203" s="753"/>
      <c r="CU203" s="753"/>
      <c r="CV203" s="753"/>
      <c r="CW203" s="753"/>
      <c r="CX203" s="753"/>
      <c r="CY203" s="753"/>
      <c r="CZ203" s="753"/>
      <c r="DA203" s="753"/>
      <c r="DB203" s="753"/>
      <c r="DC203" s="753"/>
      <c r="DD203" s="753"/>
      <c r="DE203" s="753"/>
      <c r="DF203" s="753"/>
      <c r="DG203" s="753"/>
      <c r="DH203" s="776"/>
      <c r="DI203" s="758"/>
    </row>
    <row r="204" spans="1:113">
      <c r="A204" s="784"/>
      <c r="B204" s="800"/>
      <c r="C204" s="804"/>
      <c r="D204" s="805"/>
      <c r="E204" s="802"/>
      <c r="F204" s="780"/>
      <c r="G204" s="780"/>
      <c r="H204" s="780"/>
      <c r="I204" s="780"/>
      <c r="J204" s="753"/>
      <c r="K204" s="753"/>
      <c r="L204" s="753"/>
      <c r="M204" s="767"/>
      <c r="N204" s="779"/>
      <c r="O204" s="775"/>
      <c r="P204" s="775"/>
      <c r="Q204" s="758"/>
      <c r="R204" s="758"/>
      <c r="S204" s="758"/>
      <c r="T204" s="758"/>
      <c r="U204" s="758"/>
      <c r="V204" s="758"/>
      <c r="W204" s="758"/>
      <c r="X204" s="758"/>
      <c r="Y204" s="758"/>
      <c r="Z204" s="758"/>
      <c r="AA204" s="758"/>
      <c r="AB204" s="758"/>
      <c r="AC204" s="758"/>
      <c r="AD204" s="758"/>
      <c r="AE204" s="758"/>
      <c r="AF204" s="758"/>
      <c r="AG204" s="758"/>
      <c r="AH204" s="758"/>
      <c r="CI204" s="753"/>
      <c r="CJ204" s="753"/>
      <c r="CK204" s="753"/>
      <c r="CL204" s="753"/>
      <c r="CM204" s="753"/>
      <c r="CN204" s="753"/>
      <c r="CO204" s="753"/>
      <c r="CP204" s="753"/>
      <c r="CQ204" s="753"/>
      <c r="CR204" s="753"/>
      <c r="CS204" s="753"/>
      <c r="CT204" s="753"/>
      <c r="CU204" s="753"/>
      <c r="CV204" s="753"/>
      <c r="CW204" s="753"/>
      <c r="CX204" s="753"/>
      <c r="CY204" s="753"/>
      <c r="CZ204" s="753"/>
      <c r="DA204" s="753"/>
      <c r="DB204" s="753"/>
      <c r="DC204" s="753"/>
      <c r="DD204" s="753"/>
      <c r="DE204" s="753"/>
      <c r="DF204" s="753"/>
      <c r="DG204" s="753"/>
      <c r="DH204" s="776"/>
      <c r="DI204" s="758"/>
    </row>
    <row r="205" spans="1:113">
      <c r="A205" s="68"/>
      <c r="B205" s="231"/>
      <c r="C205" s="89"/>
      <c r="D205" s="110"/>
      <c r="E205" s="89"/>
      <c r="F205" s="89"/>
      <c r="G205" s="89"/>
      <c r="H205" s="89"/>
      <c r="I205" s="89"/>
      <c r="J205" s="33"/>
      <c r="K205" s="753"/>
      <c r="L205" s="753"/>
      <c r="M205" s="767"/>
      <c r="N205" s="781"/>
      <c r="O205" s="775"/>
      <c r="P205" s="775"/>
      <c r="Q205" s="758"/>
      <c r="R205" s="758"/>
      <c r="S205" s="758"/>
      <c r="T205" s="758"/>
      <c r="U205" s="758"/>
      <c r="V205" s="758"/>
      <c r="W205" s="758"/>
      <c r="X205" s="758"/>
      <c r="Y205" s="758"/>
      <c r="Z205" s="758"/>
      <c r="AA205" s="758"/>
      <c r="AB205" s="758"/>
      <c r="AC205" s="758"/>
      <c r="AD205" s="758"/>
      <c r="AE205" s="758"/>
      <c r="AF205" s="758"/>
      <c r="AG205" s="758"/>
      <c r="CI205" s="753"/>
      <c r="CJ205" s="753"/>
      <c r="CK205" s="753"/>
      <c r="CL205" s="753"/>
      <c r="CM205" s="753"/>
      <c r="CN205" s="753"/>
      <c r="CO205" s="753"/>
      <c r="CP205" s="753"/>
      <c r="CQ205" s="753"/>
      <c r="CR205" s="753"/>
      <c r="CS205" s="753"/>
      <c r="CT205" s="753"/>
      <c r="CU205" s="753"/>
      <c r="CV205" s="753"/>
      <c r="CW205" s="753"/>
      <c r="CX205" s="753"/>
      <c r="CY205" s="753"/>
      <c r="CZ205" s="753"/>
      <c r="DA205" s="753"/>
      <c r="DB205" s="753"/>
      <c r="DC205" s="753"/>
      <c r="DD205" s="753"/>
      <c r="DE205" s="753"/>
      <c r="DF205" s="753"/>
      <c r="DG205" s="753"/>
      <c r="DH205" s="776"/>
      <c r="DI205" s="758"/>
    </row>
    <row r="206" spans="1:113">
      <c r="A206" s="68"/>
      <c r="B206" s="231"/>
      <c r="C206" s="89"/>
      <c r="D206" s="89"/>
      <c r="E206" s="89"/>
      <c r="F206" s="89"/>
      <c r="G206" s="235"/>
      <c r="H206" s="89"/>
      <c r="I206" s="89"/>
      <c r="J206" s="33"/>
      <c r="K206" s="753"/>
      <c r="L206" s="753"/>
      <c r="M206" s="782"/>
      <c r="N206" s="781"/>
      <c r="O206" s="775"/>
      <c r="P206" s="783"/>
      <c r="Q206" s="758"/>
      <c r="R206" s="758"/>
      <c r="S206" s="758"/>
      <c r="T206" s="758"/>
      <c r="U206" s="758"/>
      <c r="V206" s="758"/>
      <c r="W206" s="758"/>
      <c r="X206" s="758"/>
      <c r="Y206" s="758"/>
      <c r="Z206" s="758"/>
      <c r="AA206" s="758"/>
      <c r="AB206" s="758"/>
      <c r="AC206" s="758"/>
      <c r="AD206" s="758"/>
      <c r="AE206" s="758"/>
      <c r="AF206" s="758"/>
      <c r="AG206" s="758"/>
      <c r="CI206" s="753"/>
      <c r="CJ206" s="753"/>
      <c r="CK206" s="753"/>
      <c r="CL206" s="753"/>
      <c r="CM206" s="753"/>
      <c r="CN206" s="753"/>
      <c r="CO206" s="753"/>
      <c r="CP206" s="753"/>
      <c r="CQ206" s="753"/>
      <c r="CR206" s="753"/>
      <c r="CS206" s="753"/>
      <c r="CT206" s="753"/>
      <c r="CU206" s="753"/>
      <c r="CV206" s="753"/>
      <c r="CW206" s="753"/>
      <c r="CX206" s="753"/>
      <c r="CY206" s="753"/>
      <c r="CZ206" s="753"/>
      <c r="DA206" s="753"/>
      <c r="DB206" s="753"/>
      <c r="DC206" s="753"/>
      <c r="DD206" s="753"/>
      <c r="DE206" s="753"/>
      <c r="DF206" s="753"/>
      <c r="DG206" s="753"/>
      <c r="DH206" s="776"/>
      <c r="DI206" s="758"/>
    </row>
    <row r="207" spans="1:113">
      <c r="A207" s="234"/>
      <c r="B207" s="231"/>
      <c r="C207" s="110"/>
      <c r="D207" s="38"/>
      <c r="E207" s="38"/>
      <c r="F207" s="38"/>
      <c r="G207" s="38"/>
      <c r="H207" s="38"/>
      <c r="I207" s="38"/>
      <c r="J207" s="33"/>
      <c r="K207" s="753"/>
      <c r="L207" s="753"/>
      <c r="M207" s="782"/>
      <c r="N207" s="781"/>
      <c r="O207" s="775"/>
      <c r="P207" s="783"/>
      <c r="Q207" s="758"/>
      <c r="R207" s="758"/>
      <c r="S207" s="758"/>
      <c r="T207" s="758"/>
      <c r="U207" s="758"/>
      <c r="V207" s="758"/>
      <c r="W207" s="758"/>
      <c r="X207" s="758"/>
      <c r="Y207" s="758"/>
      <c r="Z207" s="758"/>
      <c r="AA207" s="758"/>
      <c r="AB207" s="758"/>
      <c r="AC207" s="758"/>
      <c r="AD207" s="758"/>
      <c r="AE207" s="758"/>
      <c r="AF207" s="758"/>
      <c r="AG207" s="758"/>
      <c r="CI207" s="753"/>
      <c r="CJ207" s="753"/>
      <c r="CK207" s="753"/>
      <c r="CL207" s="753"/>
      <c r="CM207" s="753"/>
      <c r="CN207" s="753"/>
      <c r="CO207" s="753"/>
      <c r="CP207" s="753"/>
      <c r="CQ207" s="753"/>
      <c r="CR207" s="753"/>
      <c r="CS207" s="753"/>
      <c r="CT207" s="753"/>
      <c r="CU207" s="753"/>
      <c r="CV207" s="753"/>
      <c r="CW207" s="753"/>
      <c r="CX207" s="753"/>
      <c r="CY207" s="753"/>
      <c r="CZ207" s="753"/>
      <c r="DA207" s="753"/>
      <c r="DB207" s="753"/>
      <c r="DC207" s="753"/>
      <c r="DD207" s="753"/>
      <c r="DE207" s="753"/>
      <c r="DF207" s="753"/>
      <c r="DG207" s="753"/>
      <c r="DH207" s="776"/>
      <c r="DI207" s="758"/>
    </row>
    <row r="208" spans="1:113">
      <c r="A208" s="234"/>
      <c r="B208" s="25"/>
      <c r="C208" s="38"/>
      <c r="D208" s="110"/>
      <c r="E208" s="38"/>
      <c r="F208" s="38"/>
      <c r="G208" s="38"/>
      <c r="H208" s="38"/>
      <c r="I208" s="38"/>
      <c r="J208" s="33"/>
      <c r="K208" s="753"/>
      <c r="L208" s="753"/>
      <c r="M208" s="753"/>
      <c r="N208" s="758"/>
      <c r="O208" s="758"/>
      <c r="P208" s="775"/>
      <c r="Q208" s="758"/>
      <c r="R208" s="758"/>
      <c r="S208" s="758"/>
      <c r="T208" s="758"/>
      <c r="U208" s="758"/>
      <c r="V208" s="758"/>
      <c r="W208" s="758"/>
      <c r="X208" s="758"/>
      <c r="Y208" s="758"/>
      <c r="Z208" s="758"/>
      <c r="AA208" s="758"/>
      <c r="AB208" s="758"/>
      <c r="AC208" s="758"/>
      <c r="AD208" s="758"/>
      <c r="AE208" s="758"/>
      <c r="AF208" s="758"/>
      <c r="AG208" s="758"/>
      <c r="CI208" s="753"/>
      <c r="CJ208" s="753"/>
      <c r="CK208" s="753"/>
      <c r="CL208" s="753"/>
      <c r="CM208" s="753"/>
      <c r="CN208" s="753"/>
      <c r="CO208" s="753"/>
      <c r="CP208" s="753"/>
      <c r="CQ208" s="753"/>
      <c r="CR208" s="753"/>
      <c r="CS208" s="753"/>
      <c r="CT208" s="753"/>
      <c r="CU208" s="753"/>
      <c r="CV208" s="753"/>
      <c r="CW208" s="753"/>
      <c r="CX208" s="753"/>
      <c r="CY208" s="753"/>
      <c r="CZ208" s="753"/>
      <c r="DA208" s="753"/>
      <c r="DB208" s="753"/>
      <c r="DC208" s="753"/>
      <c r="DD208" s="753"/>
      <c r="DE208" s="753"/>
      <c r="DF208" s="753"/>
      <c r="DG208" s="753"/>
      <c r="DH208" s="776"/>
      <c r="DI208" s="758"/>
    </row>
    <row r="209" spans="1:113">
      <c r="A209" s="38"/>
      <c r="B209" s="89"/>
      <c r="C209" s="38"/>
      <c r="D209" s="110"/>
      <c r="E209" s="38"/>
      <c r="F209" s="38"/>
      <c r="G209" s="38"/>
      <c r="H209" s="89"/>
      <c r="I209" s="38"/>
      <c r="J209" s="33"/>
      <c r="K209" s="753"/>
      <c r="L209" s="753"/>
      <c r="M209" s="767"/>
      <c r="N209" s="779"/>
      <c r="O209" s="775"/>
      <c r="P209" s="775"/>
      <c r="Q209" s="758"/>
      <c r="R209" s="758"/>
      <c r="S209" s="758"/>
      <c r="T209" s="758"/>
      <c r="U209" s="758"/>
      <c r="V209" s="758"/>
      <c r="W209" s="758"/>
      <c r="X209" s="758"/>
      <c r="Y209" s="758"/>
      <c r="Z209" s="758"/>
      <c r="AA209" s="758"/>
      <c r="AB209" s="758"/>
      <c r="AC209" s="758"/>
      <c r="AD209" s="758"/>
      <c r="AE209" s="758"/>
      <c r="AF209" s="758"/>
      <c r="AG209" s="758"/>
      <c r="CI209" s="753"/>
      <c r="CJ209" s="753"/>
      <c r="CK209" s="753"/>
      <c r="CL209" s="753"/>
      <c r="CM209" s="753"/>
      <c r="CN209" s="753"/>
      <c r="CO209" s="753"/>
      <c r="CP209" s="753"/>
      <c r="CQ209" s="753"/>
      <c r="CR209" s="753"/>
      <c r="CS209" s="753"/>
      <c r="CT209" s="753"/>
      <c r="CU209" s="753"/>
      <c r="CV209" s="753"/>
      <c r="CW209" s="753"/>
      <c r="CX209" s="753"/>
      <c r="CY209" s="753"/>
      <c r="CZ209" s="753"/>
      <c r="DA209" s="753"/>
      <c r="DB209" s="753"/>
      <c r="DC209" s="753"/>
      <c r="DD209" s="753"/>
      <c r="DE209" s="753"/>
      <c r="DF209" s="753"/>
      <c r="DG209" s="753"/>
      <c r="DH209" s="776"/>
      <c r="DI209" s="758"/>
    </row>
    <row r="210" spans="1:113">
      <c r="A210" s="89"/>
      <c r="B210" s="89"/>
      <c r="C210" s="89"/>
      <c r="D210" s="89"/>
      <c r="E210" s="89"/>
      <c r="F210" s="89"/>
      <c r="G210" s="89"/>
      <c r="H210" s="235"/>
      <c r="I210" s="38"/>
      <c r="J210" s="33"/>
      <c r="K210" s="753"/>
      <c r="L210" s="753"/>
      <c r="M210" s="767"/>
      <c r="N210" s="779"/>
      <c r="O210" s="775"/>
      <c r="P210" s="775"/>
      <c r="Q210" s="758"/>
      <c r="R210" s="758"/>
      <c r="S210" s="758"/>
      <c r="T210" s="758"/>
      <c r="U210" s="758"/>
      <c r="V210" s="758"/>
      <c r="W210" s="758"/>
      <c r="X210" s="758"/>
      <c r="Y210" s="758"/>
      <c r="Z210" s="758"/>
      <c r="AA210" s="758"/>
      <c r="AB210" s="758"/>
      <c r="AC210" s="758"/>
      <c r="AD210" s="758"/>
      <c r="AE210" s="758"/>
      <c r="AF210" s="758"/>
      <c r="AG210" s="758"/>
      <c r="CI210" s="753"/>
      <c r="CJ210" s="753"/>
      <c r="CK210" s="753"/>
      <c r="CL210" s="753"/>
      <c r="CM210" s="753"/>
      <c r="CN210" s="753"/>
      <c r="CO210" s="753"/>
      <c r="CP210" s="753"/>
      <c r="CQ210" s="753"/>
      <c r="CR210" s="753"/>
      <c r="CS210" s="753"/>
      <c r="CT210" s="753"/>
      <c r="CU210" s="753"/>
      <c r="CV210" s="753"/>
      <c r="CW210" s="753"/>
      <c r="CX210" s="753"/>
      <c r="CY210" s="753"/>
      <c r="CZ210" s="753"/>
      <c r="DA210" s="753"/>
      <c r="DB210" s="753"/>
      <c r="DC210" s="753"/>
      <c r="DD210" s="753"/>
      <c r="DE210" s="753"/>
      <c r="DF210" s="753"/>
      <c r="DG210" s="753"/>
      <c r="DH210" s="776"/>
      <c r="DI210" s="758"/>
    </row>
    <row r="211" spans="1:113">
      <c r="A211" s="89"/>
      <c r="B211" s="89"/>
      <c r="C211" s="89"/>
      <c r="D211" s="89"/>
      <c r="E211" s="89"/>
      <c r="F211" s="89"/>
      <c r="G211" s="89"/>
      <c r="H211" s="235"/>
      <c r="I211" s="38"/>
      <c r="J211" s="33"/>
      <c r="K211" s="753"/>
      <c r="L211" s="753"/>
      <c r="M211" s="767"/>
      <c r="N211" s="779"/>
      <c r="O211" s="775"/>
      <c r="P211" s="775"/>
      <c r="Q211" s="758"/>
      <c r="R211" s="758"/>
      <c r="S211" s="758"/>
      <c r="T211" s="758"/>
      <c r="U211" s="758"/>
      <c r="V211" s="758"/>
      <c r="W211" s="758"/>
      <c r="X211" s="758"/>
      <c r="Y211" s="758"/>
      <c r="Z211" s="758"/>
      <c r="AA211" s="758"/>
      <c r="AB211" s="758"/>
      <c r="AC211" s="758"/>
      <c r="AD211" s="758"/>
      <c r="AE211" s="758"/>
      <c r="AF211" s="758"/>
      <c r="AG211" s="758"/>
      <c r="CI211" s="753"/>
      <c r="CJ211" s="753"/>
      <c r="CK211" s="753"/>
      <c r="CL211" s="753"/>
      <c r="CM211" s="753"/>
      <c r="CN211" s="753"/>
      <c r="CO211" s="753"/>
      <c r="CP211" s="753"/>
      <c r="CQ211" s="753"/>
      <c r="CR211" s="753"/>
      <c r="CS211" s="753"/>
      <c r="CT211" s="753"/>
      <c r="CU211" s="753"/>
      <c r="CV211" s="753"/>
      <c r="CW211" s="753"/>
      <c r="CX211" s="753"/>
      <c r="CY211" s="753"/>
      <c r="CZ211" s="753"/>
      <c r="DA211" s="753"/>
      <c r="DB211" s="753"/>
      <c r="DC211" s="753"/>
      <c r="DD211" s="753"/>
      <c r="DE211" s="753"/>
      <c r="DF211" s="753"/>
      <c r="DG211" s="753"/>
      <c r="DH211" s="776"/>
      <c r="DI211" s="758"/>
    </row>
    <row r="212" spans="1:113">
      <c r="A212" s="89"/>
      <c r="B212" s="89"/>
      <c r="C212" s="89"/>
      <c r="D212" s="89"/>
      <c r="E212" s="89"/>
      <c r="F212" s="89"/>
      <c r="G212" s="89"/>
      <c r="H212" s="235"/>
      <c r="I212" s="38"/>
      <c r="J212" s="33"/>
      <c r="K212" s="753"/>
      <c r="L212" s="753"/>
      <c r="M212" s="767"/>
      <c r="N212" s="779"/>
      <c r="O212" s="775"/>
      <c r="P212" s="775"/>
      <c r="Q212" s="758"/>
      <c r="R212" s="758"/>
      <c r="S212" s="758"/>
      <c r="T212" s="758"/>
      <c r="U212" s="758"/>
      <c r="V212" s="758"/>
      <c r="W212" s="758"/>
      <c r="X212" s="758"/>
      <c r="Y212" s="758"/>
      <c r="Z212" s="758"/>
      <c r="AA212" s="758"/>
      <c r="AB212" s="758"/>
      <c r="AC212" s="758"/>
      <c r="AD212" s="758"/>
      <c r="AE212" s="758"/>
      <c r="AF212" s="758"/>
      <c r="AG212" s="758"/>
      <c r="CI212" s="753"/>
      <c r="CJ212" s="753"/>
      <c r="CK212" s="753"/>
      <c r="CL212" s="753"/>
      <c r="CM212" s="753"/>
      <c r="CN212" s="753"/>
      <c r="CO212" s="753"/>
      <c r="CP212" s="753"/>
      <c r="CQ212" s="753"/>
      <c r="CR212" s="753"/>
      <c r="CS212" s="753"/>
      <c r="CT212" s="753"/>
      <c r="CU212" s="753"/>
      <c r="CV212" s="753"/>
      <c r="CW212" s="753"/>
      <c r="CX212" s="753"/>
      <c r="CY212" s="753"/>
      <c r="CZ212" s="753"/>
      <c r="DA212" s="753"/>
      <c r="DB212" s="753"/>
      <c r="DC212" s="753"/>
      <c r="DD212" s="753"/>
      <c r="DE212" s="753"/>
      <c r="DF212" s="753"/>
      <c r="DG212" s="753"/>
      <c r="DH212" s="776"/>
      <c r="DI212" s="758"/>
    </row>
    <row r="213" spans="1:113">
      <c r="A213" s="89"/>
      <c r="B213" s="89"/>
      <c r="C213" s="89"/>
      <c r="D213" s="89"/>
      <c r="E213" s="89"/>
      <c r="F213" s="89"/>
      <c r="G213" s="89"/>
      <c r="H213" s="235"/>
      <c r="I213" s="38"/>
      <c r="J213" s="33"/>
      <c r="K213" s="753"/>
      <c r="L213" s="753"/>
      <c r="M213" s="767"/>
      <c r="N213" s="779"/>
      <c r="O213" s="775"/>
      <c r="P213" s="775"/>
      <c r="Q213" s="758"/>
      <c r="R213" s="758"/>
      <c r="S213" s="758"/>
      <c r="T213" s="758"/>
      <c r="U213" s="758"/>
      <c r="V213" s="758"/>
      <c r="W213" s="758"/>
      <c r="X213" s="758"/>
      <c r="Y213" s="758"/>
      <c r="Z213" s="758"/>
      <c r="AA213" s="758"/>
      <c r="AB213" s="758"/>
      <c r="AC213" s="758"/>
      <c r="AD213" s="758"/>
      <c r="AE213" s="758"/>
      <c r="AF213" s="758"/>
      <c r="AG213" s="758"/>
      <c r="CI213" s="753"/>
      <c r="CJ213" s="753"/>
      <c r="CK213" s="753"/>
      <c r="CL213" s="753"/>
      <c r="CM213" s="753"/>
      <c r="CN213" s="753"/>
      <c r="CO213" s="753"/>
      <c r="CP213" s="753"/>
      <c r="CQ213" s="753"/>
      <c r="CR213" s="753"/>
      <c r="CS213" s="753"/>
      <c r="CT213" s="753"/>
      <c r="CU213" s="753"/>
      <c r="CV213" s="753"/>
      <c r="CW213" s="753"/>
      <c r="CX213" s="753"/>
      <c r="CY213" s="753"/>
      <c r="CZ213" s="753"/>
      <c r="DA213" s="753"/>
      <c r="DB213" s="753"/>
      <c r="DC213" s="753"/>
      <c r="DD213" s="753"/>
      <c r="DE213" s="753"/>
      <c r="DF213" s="753"/>
      <c r="DG213" s="753"/>
      <c r="DH213" s="776"/>
      <c r="DI213" s="758"/>
    </row>
    <row r="214" spans="1:113">
      <c r="A214" s="89"/>
      <c r="B214" s="89"/>
      <c r="C214" s="89"/>
      <c r="D214" s="89"/>
      <c r="E214" s="38"/>
      <c r="F214" s="38"/>
      <c r="G214" s="38"/>
      <c r="H214" s="56"/>
      <c r="I214" s="236"/>
      <c r="J214" s="33"/>
      <c r="K214" s="753"/>
      <c r="L214" s="753"/>
      <c r="M214" s="753"/>
      <c r="N214" s="758"/>
      <c r="O214" s="758"/>
      <c r="P214" s="775"/>
      <c r="Q214" s="758"/>
      <c r="R214" s="758"/>
      <c r="S214" s="758"/>
      <c r="T214" s="758"/>
      <c r="U214" s="758"/>
      <c r="V214" s="758"/>
      <c r="W214" s="758"/>
      <c r="X214" s="758"/>
      <c r="Y214" s="758"/>
      <c r="Z214" s="758"/>
      <c r="AA214" s="758"/>
      <c r="AB214" s="758"/>
      <c r="AC214" s="758"/>
      <c r="AD214" s="758"/>
      <c r="AE214" s="758"/>
      <c r="AF214" s="758"/>
      <c r="AG214" s="758"/>
      <c r="CI214" s="753"/>
      <c r="CJ214" s="753"/>
      <c r="CK214" s="753"/>
      <c r="CL214" s="753"/>
      <c r="CM214" s="753"/>
      <c r="CN214" s="753"/>
      <c r="CO214" s="753"/>
      <c r="CP214" s="753"/>
      <c r="CQ214" s="753"/>
      <c r="CR214" s="753"/>
      <c r="CS214" s="753"/>
      <c r="CT214" s="753"/>
      <c r="CU214" s="753"/>
      <c r="CV214" s="753"/>
      <c r="CW214" s="753"/>
      <c r="CX214" s="753"/>
      <c r="CY214" s="753"/>
      <c r="CZ214" s="753"/>
      <c r="DA214" s="753"/>
      <c r="DB214" s="753"/>
      <c r="DC214" s="753"/>
      <c r="DD214" s="753"/>
      <c r="DE214" s="753"/>
      <c r="DF214" s="753"/>
      <c r="DG214" s="753"/>
      <c r="DH214" s="776"/>
      <c r="DI214" s="758"/>
    </row>
    <row r="215" spans="1:113">
      <c r="A215" s="89"/>
      <c r="B215" s="89"/>
      <c r="C215" s="89"/>
      <c r="D215" s="89"/>
      <c r="E215" s="89"/>
      <c r="F215" s="89"/>
      <c r="G215" s="89"/>
      <c r="H215" s="56"/>
      <c r="I215" s="726"/>
      <c r="J215" s="33"/>
      <c r="K215" s="753"/>
      <c r="L215" s="753"/>
      <c r="M215" s="767"/>
      <c r="N215" s="778"/>
      <c r="O215" s="775"/>
      <c r="P215" s="775"/>
      <c r="Q215" s="758"/>
      <c r="R215" s="758"/>
      <c r="S215" s="758"/>
      <c r="T215" s="758"/>
      <c r="U215" s="758"/>
      <c r="V215" s="758"/>
      <c r="W215" s="758"/>
      <c r="X215" s="758"/>
      <c r="Y215" s="758"/>
      <c r="Z215" s="758"/>
      <c r="AA215" s="758"/>
      <c r="AB215" s="758"/>
      <c r="AC215" s="758"/>
      <c r="AD215" s="758"/>
      <c r="AE215" s="758"/>
      <c r="AF215" s="758"/>
      <c r="AG215" s="758"/>
      <c r="CI215" s="753"/>
      <c r="CJ215" s="753"/>
      <c r="CK215" s="753"/>
      <c r="CL215" s="753"/>
      <c r="CM215" s="753"/>
      <c r="CN215" s="753"/>
      <c r="CO215" s="753"/>
      <c r="CP215" s="753"/>
      <c r="CQ215" s="753"/>
      <c r="CR215" s="753"/>
      <c r="CS215" s="753"/>
      <c r="CT215" s="753"/>
      <c r="CU215" s="753"/>
      <c r="CV215" s="753"/>
      <c r="CW215" s="753"/>
      <c r="CX215" s="753"/>
      <c r="CY215" s="753"/>
      <c r="CZ215" s="753"/>
      <c r="DA215" s="753"/>
      <c r="DB215" s="753"/>
      <c r="DC215" s="753"/>
      <c r="DD215" s="753"/>
      <c r="DE215" s="753"/>
      <c r="DF215" s="753"/>
      <c r="DG215" s="753"/>
      <c r="DH215" s="776"/>
      <c r="DI215" s="758"/>
    </row>
    <row r="216" spans="1:113">
      <c r="A216" s="237"/>
      <c r="B216" s="53"/>
      <c r="C216" s="89"/>
      <c r="D216" s="89"/>
      <c r="E216" s="89"/>
      <c r="F216" s="89"/>
      <c r="G216" s="89"/>
      <c r="H216" s="56"/>
      <c r="I216" s="727"/>
      <c r="J216" s="33"/>
      <c r="K216" s="753"/>
      <c r="L216" s="753"/>
      <c r="M216" s="767"/>
      <c r="N216" s="778"/>
      <c r="O216" s="775"/>
      <c r="P216" s="775"/>
      <c r="Q216" s="758"/>
      <c r="R216" s="758"/>
      <c r="S216" s="758"/>
      <c r="T216" s="758"/>
      <c r="U216" s="758"/>
      <c r="V216" s="758"/>
      <c r="W216" s="758"/>
      <c r="X216" s="758"/>
      <c r="Y216" s="758"/>
      <c r="Z216" s="758"/>
      <c r="AA216" s="758"/>
      <c r="AB216" s="758"/>
      <c r="AC216" s="758"/>
      <c r="AD216" s="758"/>
      <c r="AE216" s="758"/>
      <c r="AF216" s="758"/>
      <c r="AG216" s="758"/>
      <c r="CI216" s="753"/>
      <c r="CJ216" s="753"/>
      <c r="CK216" s="753"/>
      <c r="CL216" s="753"/>
      <c r="CM216" s="753"/>
      <c r="CN216" s="753"/>
      <c r="CO216" s="753"/>
      <c r="CP216" s="753"/>
      <c r="CQ216" s="753"/>
      <c r="CR216" s="753"/>
      <c r="CS216" s="753"/>
      <c r="CT216" s="753"/>
      <c r="CU216" s="753"/>
      <c r="CV216" s="753"/>
      <c r="CW216" s="753"/>
      <c r="CX216" s="753"/>
      <c r="CY216" s="753"/>
      <c r="CZ216" s="753"/>
      <c r="DA216" s="753"/>
      <c r="DB216" s="753"/>
      <c r="DC216" s="753"/>
      <c r="DD216" s="753"/>
      <c r="DE216" s="753"/>
      <c r="DF216" s="753"/>
      <c r="DG216" s="753"/>
      <c r="DH216" s="776"/>
      <c r="DI216" s="758"/>
    </row>
    <row r="217" spans="1:113">
      <c r="A217" s="234"/>
      <c r="B217" s="53"/>
      <c r="C217" s="110"/>
      <c r="D217" s="110"/>
      <c r="E217" s="89"/>
      <c r="F217" s="38"/>
      <c r="G217" s="89"/>
      <c r="H217" s="200"/>
      <c r="I217" s="25"/>
      <c r="J217" s="33"/>
      <c r="K217" s="753"/>
      <c r="L217" s="753"/>
      <c r="M217" s="767"/>
      <c r="N217" s="779"/>
      <c r="O217" s="775"/>
      <c r="P217" s="775"/>
      <c r="Q217" s="758"/>
      <c r="R217" s="758"/>
      <c r="S217" s="758"/>
      <c r="T217" s="758"/>
      <c r="U217" s="758"/>
      <c r="V217" s="758"/>
      <c r="W217" s="758"/>
      <c r="X217" s="758"/>
      <c r="Y217" s="758"/>
      <c r="Z217" s="758"/>
      <c r="AA217" s="758"/>
      <c r="AB217" s="758"/>
      <c r="AC217" s="758"/>
      <c r="AD217" s="758"/>
      <c r="AE217" s="758"/>
      <c r="AF217" s="758"/>
      <c r="AG217" s="758"/>
      <c r="CI217" s="753"/>
      <c r="CJ217" s="753"/>
      <c r="CK217" s="753"/>
      <c r="CL217" s="753"/>
      <c r="CM217" s="753"/>
      <c r="CN217" s="753"/>
      <c r="CO217" s="753"/>
      <c r="CP217" s="753"/>
      <c r="CQ217" s="753"/>
      <c r="CR217" s="753"/>
      <c r="CS217" s="753"/>
      <c r="CT217" s="753"/>
      <c r="CU217" s="753"/>
      <c r="CV217" s="753"/>
      <c r="CW217" s="753"/>
      <c r="CX217" s="753"/>
      <c r="CY217" s="753"/>
      <c r="CZ217" s="753"/>
      <c r="DA217" s="753"/>
      <c r="DB217" s="753"/>
      <c r="DC217" s="753"/>
      <c r="DD217" s="753"/>
      <c r="DE217" s="753"/>
      <c r="DF217" s="753"/>
      <c r="DG217" s="753"/>
      <c r="DH217" s="776"/>
      <c r="DI217" s="758"/>
    </row>
    <row r="218" spans="1:113">
      <c r="A218" s="234"/>
      <c r="B218" s="53"/>
      <c r="C218" s="110"/>
      <c r="D218" s="110"/>
      <c r="E218" s="89"/>
      <c r="F218" s="38"/>
      <c r="G218" s="89"/>
      <c r="H218" s="56"/>
      <c r="I218" s="25"/>
      <c r="J218" s="33"/>
      <c r="K218" s="753"/>
      <c r="L218" s="753"/>
      <c r="M218" s="767"/>
      <c r="N218" s="779"/>
      <c r="O218" s="775"/>
      <c r="P218" s="775"/>
      <c r="Q218" s="758"/>
      <c r="R218" s="758"/>
      <c r="S218" s="758"/>
      <c r="T218" s="758"/>
      <c r="U218" s="758"/>
      <c r="V218" s="758"/>
      <c r="W218" s="758"/>
      <c r="X218" s="758"/>
      <c r="Y218" s="758"/>
      <c r="Z218" s="758"/>
      <c r="AA218" s="758"/>
      <c r="AB218" s="758"/>
      <c r="AC218" s="758"/>
      <c r="AD218" s="758"/>
      <c r="AE218" s="758"/>
      <c r="AF218" s="758"/>
      <c r="AG218" s="758"/>
      <c r="CI218" s="753"/>
      <c r="CJ218" s="753"/>
      <c r="CK218" s="753"/>
      <c r="CL218" s="753"/>
      <c r="CM218" s="753"/>
      <c r="CN218" s="753"/>
      <c r="CO218" s="753"/>
      <c r="CP218" s="753"/>
      <c r="CQ218" s="753"/>
      <c r="CR218" s="753"/>
      <c r="CS218" s="753"/>
      <c r="CT218" s="753"/>
      <c r="CU218" s="753"/>
      <c r="CV218" s="753"/>
      <c r="CW218" s="753"/>
      <c r="CX218" s="753"/>
      <c r="CY218" s="753"/>
      <c r="CZ218" s="753"/>
      <c r="DA218" s="753"/>
      <c r="DB218" s="753"/>
      <c r="DC218" s="753"/>
      <c r="DD218" s="753"/>
      <c r="DE218" s="753"/>
      <c r="DF218" s="753"/>
      <c r="DG218" s="753"/>
      <c r="DH218" s="776"/>
      <c r="DI218" s="758"/>
    </row>
    <row r="219" spans="1:113">
      <c r="A219" s="68"/>
      <c r="B219" s="53"/>
      <c r="C219" s="110"/>
      <c r="D219" s="110"/>
      <c r="E219" s="33"/>
      <c r="F219" s="33"/>
      <c r="G219" s="33"/>
      <c r="H219" s="89"/>
      <c r="I219" s="89"/>
      <c r="J219" s="33"/>
      <c r="K219" s="753"/>
      <c r="L219" s="753"/>
      <c r="M219" s="767"/>
      <c r="N219" s="779"/>
      <c r="O219" s="775"/>
      <c r="P219" s="775"/>
      <c r="Q219" s="758"/>
      <c r="R219" s="758"/>
      <c r="S219" s="758"/>
      <c r="T219" s="758"/>
      <c r="U219" s="758"/>
      <c r="V219" s="758"/>
      <c r="W219" s="758"/>
      <c r="X219" s="758"/>
      <c r="Y219" s="758"/>
      <c r="Z219" s="758"/>
      <c r="AA219" s="758"/>
      <c r="AB219" s="758"/>
      <c r="AC219" s="758"/>
      <c r="AD219" s="758"/>
      <c r="AE219" s="758"/>
      <c r="AF219" s="758"/>
      <c r="AG219" s="758"/>
      <c r="CI219" s="753"/>
      <c r="CJ219" s="753"/>
      <c r="CK219" s="753"/>
      <c r="CL219" s="753"/>
      <c r="CM219" s="753"/>
      <c r="CN219" s="753"/>
      <c r="CO219" s="753"/>
      <c r="CP219" s="753"/>
      <c r="CQ219" s="753"/>
      <c r="CR219" s="753"/>
      <c r="CS219" s="753"/>
      <c r="CT219" s="753"/>
      <c r="CU219" s="753"/>
      <c r="CV219" s="753"/>
      <c r="CW219" s="753"/>
      <c r="CX219" s="753"/>
      <c r="CY219" s="753"/>
      <c r="CZ219" s="753"/>
      <c r="DA219" s="753"/>
      <c r="DB219" s="753"/>
      <c r="DC219" s="753"/>
      <c r="DD219" s="753"/>
      <c r="DE219" s="753"/>
      <c r="DF219" s="753"/>
      <c r="DG219" s="753"/>
      <c r="DH219" s="776"/>
      <c r="DI219" s="758"/>
    </row>
    <row r="220" spans="1:113">
      <c r="A220" s="234"/>
      <c r="B220" s="53"/>
      <c r="C220" s="110"/>
      <c r="D220" s="110"/>
      <c r="E220" s="89"/>
      <c r="F220" s="89"/>
      <c r="G220" s="89"/>
      <c r="H220" s="89"/>
      <c r="I220" s="89"/>
      <c r="J220" s="33"/>
      <c r="K220" s="753"/>
      <c r="L220" s="753"/>
      <c r="M220" s="753"/>
      <c r="N220" s="758"/>
      <c r="O220" s="778"/>
      <c r="P220" s="758"/>
      <c r="Q220" s="758"/>
      <c r="R220" s="758"/>
      <c r="S220" s="758"/>
      <c r="T220" s="758"/>
      <c r="U220" s="758"/>
      <c r="V220" s="758"/>
      <c r="W220" s="758"/>
      <c r="X220" s="758"/>
      <c r="Y220" s="758"/>
      <c r="Z220" s="758"/>
      <c r="AA220" s="758"/>
      <c r="AB220" s="758"/>
      <c r="AC220" s="758"/>
      <c r="AD220" s="758"/>
      <c r="AE220" s="758"/>
      <c r="AF220" s="758"/>
      <c r="AG220" s="758"/>
      <c r="CI220" s="753"/>
      <c r="CJ220" s="753"/>
      <c r="CK220" s="753"/>
      <c r="CL220" s="753"/>
      <c r="CM220" s="753"/>
      <c r="CN220" s="753"/>
      <c r="CO220" s="753"/>
      <c r="CP220" s="753"/>
      <c r="CQ220" s="753"/>
      <c r="CR220" s="753"/>
      <c r="CS220" s="753"/>
      <c r="CT220" s="753"/>
      <c r="CU220" s="753"/>
      <c r="CV220" s="753"/>
      <c r="CW220" s="753"/>
      <c r="CX220" s="753"/>
      <c r="CY220" s="753"/>
      <c r="CZ220" s="753"/>
      <c r="DA220" s="753"/>
      <c r="DB220" s="753"/>
      <c r="DC220" s="753"/>
      <c r="DD220" s="753"/>
      <c r="DE220" s="753"/>
      <c r="DF220" s="753"/>
      <c r="DG220" s="753"/>
      <c r="DH220" s="776"/>
      <c r="DI220" s="758"/>
    </row>
    <row r="221" spans="1:113">
      <c r="A221" s="234"/>
      <c r="B221" s="53"/>
      <c r="C221" s="110"/>
      <c r="D221" s="110"/>
      <c r="E221" s="33"/>
      <c r="F221" s="33"/>
      <c r="G221" s="89"/>
      <c r="H221" s="239"/>
      <c r="I221" s="89"/>
      <c r="J221" s="33"/>
      <c r="K221" s="753"/>
      <c r="L221" s="753"/>
      <c r="M221" s="753"/>
      <c r="N221" s="758"/>
      <c r="O221" s="778"/>
      <c r="P221" s="758"/>
      <c r="Q221" s="758"/>
      <c r="R221" s="758"/>
      <c r="S221" s="758"/>
      <c r="T221" s="758"/>
      <c r="U221" s="758"/>
      <c r="V221" s="758"/>
      <c r="W221" s="758"/>
      <c r="X221" s="758"/>
      <c r="Y221" s="758"/>
      <c r="Z221" s="758"/>
      <c r="AA221" s="758"/>
      <c r="AB221" s="758"/>
      <c r="AC221" s="758"/>
      <c r="AD221" s="758"/>
      <c r="AE221" s="758"/>
      <c r="AF221" s="758"/>
      <c r="AG221" s="758"/>
      <c r="CI221" s="753"/>
      <c r="CJ221" s="753"/>
      <c r="CK221" s="753"/>
      <c r="CL221" s="753"/>
      <c r="CM221" s="753"/>
      <c r="CN221" s="753"/>
      <c r="CO221" s="753"/>
      <c r="CP221" s="753"/>
      <c r="CQ221" s="753"/>
      <c r="CR221" s="753"/>
      <c r="CS221" s="753"/>
      <c r="CT221" s="753"/>
      <c r="CU221" s="753"/>
      <c r="CV221" s="753"/>
      <c r="CW221" s="753"/>
      <c r="CX221" s="753"/>
      <c r="CY221" s="753"/>
      <c r="CZ221" s="753"/>
      <c r="DA221" s="753"/>
      <c r="DB221" s="753"/>
      <c r="DC221" s="753"/>
      <c r="DD221" s="753"/>
      <c r="DE221" s="753"/>
      <c r="DF221" s="753"/>
      <c r="DG221" s="753"/>
      <c r="DH221" s="776"/>
      <c r="DI221" s="758"/>
    </row>
    <row r="222" spans="1:113">
      <c r="A222" s="68"/>
      <c r="B222" s="53"/>
      <c r="C222" s="110"/>
      <c r="D222" s="110"/>
      <c r="E222" s="89"/>
      <c r="F222" s="89"/>
      <c r="G222" s="89"/>
      <c r="H222" s="89"/>
      <c r="I222" s="89"/>
      <c r="J222" s="33"/>
      <c r="K222" s="753"/>
      <c r="L222" s="753"/>
      <c r="M222" s="753"/>
      <c r="N222" s="758"/>
      <c r="O222" s="778"/>
      <c r="P222" s="758"/>
      <c r="Q222" s="758"/>
      <c r="R222" s="758"/>
      <c r="S222" s="758"/>
      <c r="T222" s="758"/>
      <c r="U222" s="758"/>
      <c r="V222" s="758"/>
      <c r="W222" s="758"/>
      <c r="X222" s="758"/>
      <c r="Y222" s="758"/>
      <c r="Z222" s="758"/>
      <c r="AA222" s="758"/>
      <c r="AB222" s="758"/>
      <c r="AC222" s="758"/>
      <c r="AD222" s="758"/>
      <c r="AE222" s="758"/>
      <c r="AF222" s="758"/>
      <c r="AG222" s="758"/>
      <c r="CI222" s="753"/>
      <c r="CJ222" s="753"/>
      <c r="CK222" s="753"/>
      <c r="CL222" s="753"/>
      <c r="CM222" s="753"/>
      <c r="CN222" s="753"/>
      <c r="CO222" s="753"/>
      <c r="CP222" s="753"/>
      <c r="CQ222" s="753"/>
      <c r="CR222" s="753"/>
      <c r="CS222" s="753"/>
      <c r="CT222" s="753"/>
      <c r="CU222" s="753"/>
      <c r="CV222" s="753"/>
      <c r="CW222" s="753"/>
      <c r="CX222" s="753"/>
      <c r="CY222" s="753"/>
      <c r="CZ222" s="753"/>
      <c r="DA222" s="753"/>
      <c r="DB222" s="753"/>
      <c r="DC222" s="753"/>
      <c r="DD222" s="753"/>
      <c r="DE222" s="753"/>
      <c r="DF222" s="753"/>
      <c r="DG222" s="753"/>
      <c r="DH222" s="776"/>
      <c r="DI222" s="758"/>
    </row>
    <row r="223" spans="1:113">
      <c r="A223" s="68"/>
      <c r="B223" s="53"/>
      <c r="C223" s="110"/>
      <c r="D223" s="38"/>
      <c r="E223" s="89"/>
      <c r="F223" s="89"/>
      <c r="G223" s="89"/>
      <c r="H223" s="89"/>
      <c r="I223" s="89"/>
      <c r="J223" s="33"/>
      <c r="K223" s="753"/>
      <c r="L223" s="753"/>
      <c r="M223" s="753"/>
      <c r="N223" s="758"/>
      <c r="O223" s="778"/>
      <c r="P223" s="758"/>
      <c r="Q223" s="758"/>
      <c r="R223" s="758"/>
      <c r="S223" s="758"/>
      <c r="T223" s="758"/>
      <c r="U223" s="758"/>
      <c r="V223" s="758"/>
      <c r="W223" s="758"/>
      <c r="X223" s="758"/>
      <c r="Y223" s="758"/>
      <c r="Z223" s="758"/>
      <c r="AA223" s="758"/>
      <c r="AB223" s="758"/>
      <c r="AC223" s="758"/>
      <c r="AD223" s="758"/>
      <c r="AE223" s="758"/>
      <c r="AF223" s="758"/>
      <c r="AG223" s="758"/>
      <c r="CI223" s="753"/>
      <c r="CJ223" s="753"/>
      <c r="CK223" s="753"/>
      <c r="CL223" s="753"/>
      <c r="CM223" s="753"/>
      <c r="CN223" s="753"/>
      <c r="CO223" s="753"/>
      <c r="CP223" s="753"/>
      <c r="CQ223" s="753"/>
      <c r="CR223" s="753"/>
      <c r="CS223" s="753"/>
      <c r="CT223" s="753"/>
      <c r="CU223" s="753"/>
      <c r="CV223" s="753"/>
      <c r="CW223" s="753"/>
      <c r="CX223" s="753"/>
      <c r="CY223" s="753"/>
      <c r="CZ223" s="753"/>
      <c r="DA223" s="753"/>
      <c r="DB223" s="753"/>
      <c r="DC223" s="753"/>
      <c r="DD223" s="753"/>
      <c r="DE223" s="753"/>
      <c r="DF223" s="753"/>
      <c r="DG223" s="753"/>
      <c r="DH223" s="776"/>
      <c r="DI223" s="758"/>
    </row>
    <row r="224" spans="1:113">
      <c r="A224" s="234"/>
      <c r="B224" s="38"/>
      <c r="C224" s="110"/>
      <c r="D224" s="110"/>
      <c r="E224" s="89"/>
      <c r="F224" s="89"/>
      <c r="G224" s="89"/>
      <c r="H224" s="239"/>
      <c r="I224" s="89"/>
      <c r="J224" s="33"/>
      <c r="K224" s="753"/>
      <c r="L224" s="753"/>
      <c r="M224" s="753"/>
      <c r="N224" s="758"/>
      <c r="O224" s="778"/>
      <c r="P224" s="758"/>
      <c r="Q224" s="758"/>
      <c r="R224" s="758"/>
      <c r="S224" s="758"/>
      <c r="T224" s="758"/>
      <c r="U224" s="758"/>
      <c r="V224" s="758"/>
      <c r="W224" s="758"/>
      <c r="X224" s="758"/>
      <c r="Y224" s="758"/>
      <c r="Z224" s="758"/>
      <c r="AA224" s="758"/>
      <c r="AB224" s="758"/>
      <c r="AC224" s="758"/>
      <c r="AD224" s="758"/>
      <c r="AE224" s="758"/>
      <c r="AF224" s="758"/>
      <c r="AG224" s="758"/>
      <c r="CI224" s="753"/>
      <c r="CJ224" s="753"/>
      <c r="CK224" s="753"/>
      <c r="CL224" s="753"/>
      <c r="CM224" s="753"/>
      <c r="CN224" s="753"/>
      <c r="CO224" s="753"/>
      <c r="CP224" s="753"/>
      <c r="CQ224" s="753"/>
      <c r="CR224" s="753"/>
      <c r="CS224" s="753"/>
      <c r="CT224" s="753"/>
      <c r="CU224" s="753"/>
      <c r="CV224" s="753"/>
      <c r="CW224" s="753"/>
      <c r="CX224" s="753"/>
      <c r="CY224" s="753"/>
      <c r="CZ224" s="753"/>
      <c r="DA224" s="753"/>
      <c r="DB224" s="753"/>
      <c r="DC224" s="753"/>
      <c r="DD224" s="753"/>
      <c r="DE224" s="753"/>
      <c r="DF224" s="753"/>
      <c r="DG224" s="753"/>
      <c r="DH224" s="776"/>
      <c r="DI224" s="758"/>
    </row>
    <row r="225" spans="1:113">
      <c r="A225" s="110"/>
      <c r="B225" s="240"/>
      <c r="C225" s="38"/>
      <c r="D225" s="38"/>
      <c r="E225" s="38"/>
      <c r="F225" s="89"/>
      <c r="G225" s="89"/>
      <c r="H225" s="89"/>
      <c r="I225" s="89"/>
      <c r="J225" s="33"/>
      <c r="K225" s="753"/>
      <c r="L225" s="753"/>
      <c r="M225" s="753"/>
      <c r="N225" s="758"/>
      <c r="O225" s="778"/>
      <c r="P225" s="758"/>
      <c r="Q225" s="758"/>
      <c r="R225" s="758"/>
      <c r="S225" s="758"/>
      <c r="T225" s="758"/>
      <c r="U225" s="758"/>
      <c r="V225" s="758"/>
      <c r="W225" s="758"/>
      <c r="X225" s="758"/>
      <c r="Y225" s="758"/>
      <c r="Z225" s="758"/>
      <c r="AA225" s="758"/>
      <c r="AB225" s="758"/>
      <c r="AC225" s="758"/>
      <c r="AD225" s="758"/>
      <c r="AE225" s="758"/>
      <c r="AF225" s="758"/>
      <c r="AG225" s="758"/>
      <c r="CI225" s="753"/>
      <c r="CJ225" s="753"/>
      <c r="CK225" s="753"/>
      <c r="CL225" s="753"/>
      <c r="CM225" s="753"/>
      <c r="CN225" s="753"/>
      <c r="CO225" s="753"/>
      <c r="CP225" s="753"/>
      <c r="CQ225" s="753"/>
      <c r="CR225" s="753"/>
      <c r="CS225" s="753"/>
      <c r="CT225" s="753"/>
      <c r="CU225" s="753"/>
      <c r="CV225" s="753"/>
      <c r="CW225" s="753"/>
      <c r="CX225" s="753"/>
      <c r="CY225" s="753"/>
      <c r="CZ225" s="753"/>
      <c r="DA225" s="753"/>
      <c r="DB225" s="753"/>
      <c r="DC225" s="753"/>
      <c r="DD225" s="753"/>
      <c r="DE225" s="753"/>
      <c r="DF225" s="753"/>
      <c r="DG225" s="753"/>
      <c r="DH225" s="776"/>
      <c r="DI225" s="758"/>
    </row>
    <row r="226" spans="1:113">
      <c r="A226" s="234"/>
      <c r="B226" s="240"/>
      <c r="C226" s="110"/>
      <c r="D226" s="110"/>
      <c r="E226" s="38"/>
      <c r="F226" s="89"/>
      <c r="G226" s="89"/>
      <c r="H226" s="89"/>
      <c r="I226" s="89"/>
      <c r="J226" s="33"/>
      <c r="K226" s="753"/>
      <c r="L226" s="753"/>
      <c r="M226" s="753"/>
      <c r="N226" s="758"/>
      <c r="O226" s="778"/>
      <c r="P226" s="758"/>
      <c r="Q226" s="758"/>
      <c r="R226" s="758"/>
      <c r="S226" s="758"/>
      <c r="T226" s="758"/>
      <c r="U226" s="758"/>
      <c r="V226" s="758"/>
      <c r="W226" s="758"/>
      <c r="X226" s="758"/>
      <c r="Y226" s="758"/>
      <c r="Z226" s="758"/>
      <c r="AA226" s="758"/>
      <c r="AB226" s="758"/>
      <c r="AC226" s="758"/>
      <c r="AD226" s="758"/>
      <c r="AE226" s="758"/>
      <c r="AF226" s="758"/>
      <c r="AG226" s="758"/>
      <c r="CI226" s="753"/>
      <c r="CJ226" s="753"/>
      <c r="CK226" s="753"/>
      <c r="CL226" s="753"/>
      <c r="CM226" s="753"/>
      <c r="CN226" s="753"/>
      <c r="CO226" s="753"/>
      <c r="CP226" s="753"/>
      <c r="CQ226" s="753"/>
      <c r="CR226" s="753"/>
      <c r="CS226" s="753"/>
      <c r="CT226" s="753"/>
      <c r="CU226" s="753"/>
      <c r="CV226" s="753"/>
      <c r="CW226" s="753"/>
      <c r="CX226" s="753"/>
      <c r="CY226" s="753"/>
      <c r="CZ226" s="753"/>
      <c r="DA226" s="753"/>
      <c r="DB226" s="753"/>
      <c r="DC226" s="753"/>
      <c r="DD226" s="753"/>
      <c r="DE226" s="753"/>
      <c r="DF226" s="753"/>
      <c r="DG226" s="753"/>
      <c r="DH226" s="776"/>
      <c r="DI226" s="758"/>
    </row>
    <row r="227" spans="1:113">
      <c r="A227" s="234"/>
      <c r="B227" s="240"/>
      <c r="C227" s="110"/>
      <c r="D227" s="110"/>
      <c r="E227" s="38"/>
      <c r="F227" s="89"/>
      <c r="G227" s="89"/>
      <c r="H227" s="89"/>
      <c r="I227" s="89"/>
      <c r="J227" s="33"/>
      <c r="K227" s="753"/>
      <c r="L227" s="753"/>
      <c r="M227" s="753"/>
      <c r="N227" s="758"/>
      <c r="O227" s="778"/>
      <c r="P227" s="758"/>
      <c r="Q227" s="758"/>
      <c r="R227" s="758"/>
      <c r="S227" s="758"/>
      <c r="T227" s="758"/>
      <c r="U227" s="758"/>
      <c r="V227" s="758"/>
      <c r="W227" s="758"/>
      <c r="X227" s="758"/>
      <c r="Y227" s="758"/>
      <c r="Z227" s="758"/>
      <c r="AA227" s="758"/>
      <c r="AB227" s="758"/>
      <c r="AC227" s="758"/>
      <c r="AD227" s="758"/>
      <c r="AE227" s="758"/>
      <c r="AF227" s="758"/>
      <c r="AG227" s="758"/>
      <c r="CI227" s="753"/>
      <c r="CJ227" s="753"/>
      <c r="CK227" s="753"/>
      <c r="CL227" s="753"/>
      <c r="CM227" s="753"/>
      <c r="CN227" s="753"/>
      <c r="CO227" s="753"/>
      <c r="CP227" s="753"/>
      <c r="CQ227" s="753"/>
      <c r="CR227" s="753"/>
      <c r="CS227" s="753"/>
      <c r="CT227" s="753"/>
      <c r="CU227" s="753"/>
      <c r="CV227" s="753"/>
      <c r="CW227" s="753"/>
      <c r="CX227" s="753"/>
      <c r="CY227" s="753"/>
      <c r="CZ227" s="753"/>
      <c r="DA227" s="753"/>
      <c r="DB227" s="753"/>
      <c r="DC227" s="753"/>
      <c r="DD227" s="753"/>
      <c r="DE227" s="753"/>
      <c r="DF227" s="753"/>
      <c r="DG227" s="753"/>
      <c r="DH227" s="776"/>
      <c r="DI227" s="758"/>
    </row>
    <row r="228" spans="1:113">
      <c r="A228" s="234"/>
      <c r="B228" s="240"/>
      <c r="C228" s="110"/>
      <c r="D228" s="110"/>
      <c r="E228" s="38"/>
      <c r="F228" s="38"/>
      <c r="G228" s="89"/>
      <c r="H228" s="89"/>
      <c r="I228" s="38"/>
      <c r="J228" s="33"/>
      <c r="K228" s="753"/>
      <c r="L228" s="753"/>
      <c r="M228" s="753"/>
      <c r="N228" s="758"/>
      <c r="O228" s="778"/>
      <c r="P228" s="758"/>
      <c r="Q228" s="758"/>
      <c r="R228" s="758"/>
      <c r="S228" s="758"/>
      <c r="T228" s="758"/>
      <c r="U228" s="758"/>
      <c r="V228" s="758"/>
      <c r="W228" s="758"/>
      <c r="X228" s="758"/>
      <c r="Y228" s="758"/>
      <c r="Z228" s="758"/>
      <c r="AA228" s="758"/>
      <c r="AB228" s="758"/>
      <c r="AC228" s="758"/>
      <c r="AD228" s="758"/>
      <c r="AE228" s="758"/>
      <c r="AF228" s="758"/>
      <c r="AG228" s="758"/>
      <c r="CI228" s="753"/>
      <c r="CJ228" s="753"/>
      <c r="CK228" s="753"/>
      <c r="CL228" s="753"/>
      <c r="CM228" s="753"/>
      <c r="CN228" s="753"/>
      <c r="CO228" s="753"/>
      <c r="CP228" s="753"/>
      <c r="CQ228" s="753"/>
      <c r="CR228" s="753"/>
      <c r="CS228" s="753"/>
      <c r="CT228" s="753"/>
      <c r="CU228" s="753"/>
      <c r="CV228" s="753"/>
      <c r="CW228" s="753"/>
      <c r="CX228" s="753"/>
      <c r="CY228" s="753"/>
      <c r="CZ228" s="753"/>
      <c r="DA228" s="753"/>
      <c r="DB228" s="753"/>
      <c r="DC228" s="753"/>
      <c r="DD228" s="753"/>
      <c r="DE228" s="753"/>
      <c r="DF228" s="753"/>
      <c r="DG228" s="753"/>
      <c r="DH228" s="776"/>
      <c r="DI228" s="758"/>
    </row>
    <row r="229" spans="1:113">
      <c r="A229" s="234"/>
      <c r="B229" s="240"/>
      <c r="C229" s="110"/>
      <c r="D229" s="110"/>
      <c r="E229" s="38"/>
      <c r="F229" s="38"/>
      <c r="G229" s="89"/>
      <c r="H229" s="38"/>
      <c r="I229" s="38"/>
      <c r="J229" s="33"/>
      <c r="K229" s="753"/>
      <c r="L229" s="753"/>
      <c r="M229" s="753"/>
      <c r="N229" s="758"/>
      <c r="O229" s="778"/>
      <c r="P229" s="758"/>
      <c r="Q229" s="758"/>
      <c r="R229" s="758"/>
      <c r="S229" s="758"/>
      <c r="T229" s="758"/>
      <c r="U229" s="758"/>
      <c r="V229" s="758"/>
      <c r="W229" s="758"/>
      <c r="X229" s="758"/>
      <c r="Y229" s="758"/>
      <c r="Z229" s="758"/>
      <c r="AA229" s="758"/>
      <c r="AB229" s="758"/>
      <c r="AC229" s="758"/>
      <c r="AD229" s="758"/>
      <c r="AE229" s="758"/>
      <c r="AF229" s="758"/>
      <c r="AG229" s="758"/>
      <c r="CI229" s="753"/>
      <c r="CJ229" s="753"/>
      <c r="CK229" s="753"/>
      <c r="CL229" s="753"/>
      <c r="CM229" s="753"/>
      <c r="CN229" s="753"/>
      <c r="CO229" s="753"/>
      <c r="CP229" s="753"/>
      <c r="CQ229" s="753"/>
      <c r="CR229" s="753"/>
      <c r="CS229" s="753"/>
      <c r="CT229" s="753"/>
      <c r="CU229" s="753"/>
      <c r="CV229" s="753"/>
      <c r="CW229" s="753"/>
      <c r="CX229" s="753"/>
      <c r="CY229" s="753"/>
      <c r="CZ229" s="753"/>
      <c r="DA229" s="753"/>
      <c r="DB229" s="753"/>
      <c r="DC229" s="753"/>
      <c r="DD229" s="753"/>
      <c r="DE229" s="753"/>
      <c r="DF229" s="753"/>
      <c r="DG229" s="753"/>
      <c r="DH229" s="776"/>
      <c r="DI229" s="758"/>
    </row>
    <row r="230" spans="1:113">
      <c r="A230" s="241"/>
      <c r="B230" s="240"/>
      <c r="C230" s="38"/>
      <c r="D230" s="232"/>
      <c r="E230" s="38"/>
      <c r="F230" s="38"/>
      <c r="G230" s="89"/>
      <c r="H230" s="38"/>
      <c r="I230" s="89"/>
      <c r="J230" s="33"/>
      <c r="K230" s="753"/>
      <c r="L230" s="753"/>
      <c r="M230" s="753"/>
      <c r="N230" s="758"/>
      <c r="O230" s="778"/>
      <c r="P230" s="758"/>
      <c r="Q230" s="758"/>
      <c r="R230" s="758"/>
      <c r="S230" s="758"/>
      <c r="T230" s="758"/>
      <c r="U230" s="758"/>
      <c r="V230" s="758"/>
      <c r="W230" s="758"/>
      <c r="X230" s="758"/>
      <c r="Y230" s="758"/>
      <c r="Z230" s="758"/>
      <c r="AA230" s="758"/>
      <c r="AB230" s="758"/>
      <c r="AC230" s="758"/>
      <c r="AD230" s="758"/>
      <c r="AE230" s="758"/>
      <c r="AF230" s="758"/>
      <c r="AG230" s="758"/>
      <c r="CI230" s="753"/>
      <c r="CJ230" s="753"/>
      <c r="CK230" s="753"/>
      <c r="CL230" s="753"/>
      <c r="CM230" s="753"/>
      <c r="CN230" s="753"/>
      <c r="CO230" s="753"/>
      <c r="CP230" s="753"/>
      <c r="CQ230" s="753"/>
      <c r="CR230" s="753"/>
      <c r="CS230" s="753"/>
      <c r="CT230" s="753"/>
      <c r="CU230" s="753"/>
      <c r="CV230" s="753"/>
      <c r="CW230" s="753"/>
      <c r="CX230" s="753"/>
      <c r="CY230" s="753"/>
      <c r="CZ230" s="753"/>
      <c r="DA230" s="753"/>
      <c r="DB230" s="753"/>
      <c r="DC230" s="753"/>
      <c r="DD230" s="753"/>
      <c r="DE230" s="753"/>
      <c r="DF230" s="753"/>
      <c r="DG230" s="753"/>
      <c r="DH230" s="776"/>
      <c r="DI230" s="758"/>
    </row>
    <row r="231" spans="1:113">
      <c r="A231" s="234"/>
      <c r="B231" s="240"/>
      <c r="C231" s="110"/>
      <c r="D231" s="110"/>
      <c r="E231" s="38"/>
      <c r="F231" s="38"/>
      <c r="G231" s="89"/>
      <c r="H231" s="89"/>
      <c r="I231" s="89"/>
      <c r="J231" s="33"/>
      <c r="K231" s="753"/>
      <c r="L231" s="753"/>
      <c r="M231" s="753"/>
      <c r="N231" s="758"/>
      <c r="O231" s="778"/>
      <c r="P231" s="758"/>
      <c r="Q231" s="758"/>
      <c r="R231" s="758"/>
      <c r="S231" s="758"/>
      <c r="T231" s="758"/>
      <c r="U231" s="758"/>
      <c r="V231" s="758"/>
      <c r="W231" s="758"/>
      <c r="X231" s="758"/>
      <c r="Y231" s="758"/>
      <c r="Z231" s="758"/>
      <c r="AA231" s="758"/>
      <c r="AB231" s="758"/>
      <c r="AC231" s="758"/>
      <c r="AD231" s="758"/>
      <c r="AE231" s="758"/>
      <c r="AF231" s="758"/>
      <c r="AG231" s="758"/>
      <c r="CI231" s="753"/>
      <c r="CJ231" s="753"/>
      <c r="CK231" s="753"/>
      <c r="CL231" s="753"/>
      <c r="CM231" s="753"/>
      <c r="CN231" s="753"/>
      <c r="CO231" s="753"/>
      <c r="CP231" s="753"/>
      <c r="CQ231" s="753"/>
      <c r="CR231" s="753"/>
      <c r="CS231" s="753"/>
      <c r="CT231" s="753"/>
      <c r="CU231" s="753"/>
      <c r="CV231" s="753"/>
      <c r="CW231" s="753"/>
      <c r="CX231" s="753"/>
      <c r="CY231" s="753"/>
      <c r="CZ231" s="753"/>
      <c r="DA231" s="753"/>
      <c r="DB231" s="753"/>
      <c r="DC231" s="753"/>
      <c r="DD231" s="753"/>
      <c r="DE231" s="753"/>
      <c r="DF231" s="753"/>
      <c r="DG231" s="753"/>
      <c r="DH231" s="776"/>
      <c r="DI231" s="758"/>
    </row>
    <row r="232" spans="1:113">
      <c r="A232" s="241"/>
      <c r="B232" s="44"/>
      <c r="C232" s="38"/>
      <c r="D232" s="232"/>
      <c r="E232" s="38"/>
      <c r="F232" s="38"/>
      <c r="G232" s="89"/>
      <c r="H232" s="38"/>
      <c r="I232" s="38"/>
      <c r="J232" s="33"/>
      <c r="K232" s="753"/>
      <c r="L232" s="753"/>
      <c r="M232" s="753"/>
      <c r="N232" s="758"/>
      <c r="O232" s="778"/>
      <c r="P232" s="758"/>
      <c r="Q232" s="758"/>
      <c r="R232" s="758"/>
      <c r="S232" s="758"/>
      <c r="T232" s="758"/>
      <c r="U232" s="758"/>
      <c r="V232" s="758"/>
      <c r="W232" s="758"/>
      <c r="X232" s="758"/>
      <c r="Y232" s="758"/>
      <c r="Z232" s="758"/>
      <c r="AA232" s="758"/>
      <c r="AB232" s="758"/>
      <c r="AC232" s="758"/>
      <c r="AD232" s="758"/>
      <c r="AE232" s="758"/>
      <c r="AF232" s="758"/>
      <c r="AG232" s="758"/>
      <c r="CI232" s="753"/>
      <c r="CJ232" s="753"/>
      <c r="CK232" s="753"/>
      <c r="CL232" s="753"/>
      <c r="CM232" s="753"/>
      <c r="CN232" s="753"/>
      <c r="CO232" s="753"/>
      <c r="CP232" s="753"/>
      <c r="CQ232" s="753"/>
      <c r="CR232" s="753"/>
      <c r="CS232" s="753"/>
      <c r="CT232" s="753"/>
      <c r="CU232" s="753"/>
      <c r="CV232" s="753"/>
      <c r="CW232" s="753"/>
      <c r="CX232" s="753"/>
      <c r="CY232" s="753"/>
      <c r="CZ232" s="753"/>
      <c r="DA232" s="753"/>
      <c r="DB232" s="753"/>
      <c r="DC232" s="753"/>
      <c r="DD232" s="753"/>
      <c r="DE232" s="753"/>
      <c r="DF232" s="753"/>
      <c r="DG232" s="753"/>
      <c r="DH232" s="776"/>
      <c r="DI232" s="758"/>
    </row>
    <row r="233" spans="1:113">
      <c r="A233" s="241"/>
      <c r="B233" s="240"/>
      <c r="C233" s="38"/>
      <c r="D233" s="232"/>
      <c r="E233" s="38"/>
      <c r="F233" s="38"/>
      <c r="G233" s="38"/>
      <c r="H233" s="38"/>
      <c r="I233" s="38"/>
      <c r="J233" s="33"/>
      <c r="K233" s="753"/>
      <c r="L233" s="753"/>
      <c r="M233" s="753"/>
      <c r="N233" s="758"/>
      <c r="O233" s="778"/>
      <c r="P233" s="758"/>
      <c r="Q233" s="758"/>
      <c r="R233" s="758"/>
      <c r="S233" s="758"/>
      <c r="T233" s="758"/>
      <c r="U233" s="758"/>
      <c r="V233" s="758"/>
      <c r="W233" s="758"/>
      <c r="X233" s="758"/>
      <c r="Y233" s="758"/>
      <c r="Z233" s="758"/>
      <c r="AA233" s="758"/>
      <c r="AB233" s="758"/>
      <c r="AC233" s="758"/>
      <c r="AD233" s="758"/>
      <c r="AE233" s="758"/>
      <c r="AF233" s="758"/>
      <c r="AG233" s="758"/>
      <c r="CI233" s="753"/>
      <c r="CJ233" s="753"/>
      <c r="CK233" s="753"/>
      <c r="CL233" s="753"/>
      <c r="CM233" s="753"/>
      <c r="CN233" s="753"/>
      <c r="CO233" s="753"/>
      <c r="CP233" s="753"/>
      <c r="CQ233" s="753"/>
      <c r="CR233" s="753"/>
      <c r="CS233" s="753"/>
      <c r="CT233" s="753"/>
      <c r="CU233" s="753"/>
      <c r="CV233" s="753"/>
      <c r="CW233" s="753"/>
      <c r="CX233" s="753"/>
      <c r="CY233" s="753"/>
      <c r="CZ233" s="753"/>
      <c r="DA233" s="753"/>
      <c r="DB233" s="753"/>
      <c r="DC233" s="753"/>
      <c r="DD233" s="753"/>
      <c r="DE233" s="753"/>
      <c r="DF233" s="753"/>
      <c r="DG233" s="753"/>
      <c r="DH233" s="776"/>
      <c r="DI233" s="758"/>
    </row>
    <row r="234" spans="1:113">
      <c r="A234" s="241"/>
      <c r="B234" s="44"/>
      <c r="C234" s="38"/>
      <c r="D234" s="110"/>
      <c r="E234" s="38"/>
      <c r="F234" s="38"/>
      <c r="G234" s="38"/>
      <c r="H234" s="38"/>
      <c r="I234" s="38"/>
      <c r="J234" s="33"/>
      <c r="K234" s="753"/>
      <c r="L234" s="753"/>
      <c r="M234" s="753"/>
      <c r="N234" s="758"/>
      <c r="O234" s="778"/>
      <c r="P234" s="758"/>
      <c r="Q234" s="758"/>
      <c r="R234" s="758"/>
      <c r="S234" s="758"/>
      <c r="T234" s="758"/>
      <c r="U234" s="758"/>
      <c r="V234" s="758"/>
      <c r="W234" s="758"/>
      <c r="X234" s="758"/>
      <c r="Y234" s="758"/>
      <c r="Z234" s="758"/>
      <c r="AA234" s="758"/>
      <c r="AB234" s="758"/>
      <c r="AC234" s="758"/>
      <c r="AD234" s="758"/>
      <c r="AE234" s="758"/>
      <c r="AF234" s="758"/>
      <c r="AG234" s="758"/>
      <c r="CI234" s="753"/>
      <c r="CJ234" s="753"/>
      <c r="CK234" s="753"/>
      <c r="CL234" s="753"/>
      <c r="CM234" s="753"/>
      <c r="CN234" s="753"/>
      <c r="CO234" s="753"/>
      <c r="CP234" s="753"/>
      <c r="CQ234" s="753"/>
      <c r="CR234" s="753"/>
      <c r="CS234" s="753"/>
      <c r="CT234" s="753"/>
      <c r="CU234" s="753"/>
      <c r="CV234" s="753"/>
      <c r="CW234" s="753"/>
      <c r="CX234" s="753"/>
      <c r="CY234" s="753"/>
      <c r="CZ234" s="753"/>
      <c r="DA234" s="753"/>
      <c r="DB234" s="753"/>
      <c r="DC234" s="753"/>
      <c r="DD234" s="753"/>
      <c r="DE234" s="753"/>
      <c r="DF234" s="753"/>
      <c r="DG234" s="753"/>
      <c r="DH234" s="776"/>
      <c r="DI234" s="758"/>
    </row>
    <row r="235" spans="1:113">
      <c r="A235" s="234"/>
      <c r="B235" s="44"/>
      <c r="C235" s="110"/>
      <c r="D235" s="110"/>
      <c r="E235" s="38"/>
      <c r="F235" s="38"/>
      <c r="G235" s="38"/>
      <c r="H235" s="239"/>
      <c r="I235" s="38"/>
      <c r="J235" s="33"/>
      <c r="K235" s="753"/>
      <c r="L235" s="753"/>
      <c r="M235" s="753"/>
      <c r="N235" s="758"/>
      <c r="O235" s="778"/>
      <c r="P235" s="758"/>
      <c r="Q235" s="758"/>
      <c r="R235" s="758"/>
      <c r="S235" s="758"/>
      <c r="T235" s="758"/>
      <c r="U235" s="758"/>
      <c r="V235" s="758"/>
      <c r="W235" s="758"/>
      <c r="X235" s="758"/>
      <c r="Y235" s="758"/>
      <c r="Z235" s="758"/>
      <c r="AA235" s="758"/>
      <c r="AB235" s="758"/>
      <c r="AC235" s="758"/>
      <c r="AD235" s="758"/>
      <c r="AE235" s="758"/>
      <c r="AF235" s="758"/>
      <c r="AG235" s="758"/>
      <c r="CI235" s="753"/>
      <c r="CJ235" s="753"/>
      <c r="CK235" s="753"/>
      <c r="CL235" s="753"/>
      <c r="CM235" s="753"/>
      <c r="CN235" s="753"/>
      <c r="CO235" s="753"/>
      <c r="CP235" s="753"/>
      <c r="CQ235" s="753"/>
      <c r="CR235" s="753"/>
      <c r="CS235" s="753"/>
      <c r="CT235" s="753"/>
      <c r="CU235" s="753"/>
      <c r="CV235" s="753"/>
      <c r="CW235" s="753"/>
      <c r="CX235" s="753"/>
      <c r="CY235" s="753"/>
      <c r="CZ235" s="753"/>
      <c r="DA235" s="753"/>
      <c r="DB235" s="753"/>
      <c r="DC235" s="753"/>
      <c r="DD235" s="753"/>
      <c r="DE235" s="753"/>
      <c r="DF235" s="753"/>
      <c r="DG235" s="753"/>
      <c r="DH235" s="776"/>
      <c r="DI235" s="758"/>
    </row>
    <row r="236" spans="1:113">
      <c r="A236" s="234"/>
      <c r="B236" s="240"/>
      <c r="C236" s="110"/>
      <c r="D236" s="38"/>
      <c r="E236" s="38"/>
      <c r="F236" s="38"/>
      <c r="G236" s="38"/>
      <c r="H236" s="38"/>
      <c r="I236" s="38"/>
      <c r="K236" s="758"/>
      <c r="L236" s="758"/>
      <c r="M236" s="758"/>
      <c r="N236" s="758"/>
      <c r="O236" s="778"/>
      <c r="P236" s="758"/>
      <c r="Q236" s="758"/>
      <c r="R236" s="758"/>
      <c r="S236" s="758"/>
      <c r="T236" s="758"/>
      <c r="U236" s="758"/>
      <c r="V236" s="758"/>
      <c r="W236" s="758"/>
      <c r="X236" s="758"/>
      <c r="Y236" s="758"/>
      <c r="Z236" s="758"/>
      <c r="AA236" s="758"/>
      <c r="AB236" s="758"/>
      <c r="AC236" s="758"/>
      <c r="AD236" s="758"/>
      <c r="AE236" s="758"/>
      <c r="AF236" s="758"/>
      <c r="AG236" s="758"/>
      <c r="CI236" s="753"/>
      <c r="CJ236" s="753"/>
      <c r="CK236" s="753"/>
      <c r="CL236" s="753"/>
      <c r="CM236" s="753"/>
      <c r="CN236" s="753"/>
      <c r="CO236" s="753"/>
      <c r="CP236" s="753"/>
      <c r="CQ236" s="753"/>
      <c r="CR236" s="753"/>
      <c r="CS236" s="753"/>
      <c r="CT236" s="753"/>
      <c r="CU236" s="753"/>
      <c r="CV236" s="753"/>
      <c r="CW236" s="753"/>
      <c r="CX236" s="753"/>
      <c r="CY236" s="753"/>
      <c r="CZ236" s="753"/>
      <c r="DA236" s="753"/>
      <c r="DB236" s="753"/>
      <c r="DC236" s="753"/>
      <c r="DD236" s="753"/>
      <c r="DE236" s="753"/>
      <c r="DF236" s="753"/>
      <c r="DG236" s="753"/>
      <c r="DH236" s="776"/>
      <c r="DI236" s="758"/>
    </row>
    <row r="237" spans="1:113">
      <c r="A237" s="241"/>
      <c r="B237" s="53"/>
      <c r="C237" s="38"/>
      <c r="D237" s="175"/>
      <c r="E237" s="38"/>
      <c r="F237" s="38"/>
      <c r="G237" s="38"/>
      <c r="H237" s="38"/>
      <c r="I237" s="38"/>
      <c r="K237" s="758"/>
      <c r="L237" s="758"/>
      <c r="M237" s="758"/>
      <c r="N237" s="758"/>
      <c r="O237" s="778"/>
      <c r="P237" s="758"/>
      <c r="Q237" s="758"/>
      <c r="R237" s="758"/>
      <c r="S237" s="758"/>
      <c r="T237" s="758"/>
      <c r="U237" s="758"/>
      <c r="V237" s="758"/>
      <c r="W237" s="758"/>
      <c r="X237" s="758"/>
      <c r="Y237" s="758"/>
      <c r="Z237" s="758"/>
      <c r="AA237" s="758"/>
      <c r="AB237" s="758"/>
      <c r="AC237" s="758"/>
      <c r="AD237" s="758"/>
      <c r="AE237" s="758"/>
      <c r="AF237" s="758"/>
      <c r="AG237" s="758"/>
      <c r="CI237" s="753"/>
      <c r="CJ237" s="753"/>
      <c r="CK237" s="753"/>
      <c r="CL237" s="753"/>
      <c r="CM237" s="753"/>
      <c r="CN237" s="753"/>
      <c r="CO237" s="753"/>
      <c r="CP237" s="753"/>
      <c r="CQ237" s="753"/>
      <c r="CR237" s="753"/>
      <c r="CS237" s="753"/>
      <c r="CT237" s="753"/>
      <c r="CU237" s="753"/>
      <c r="CV237" s="753"/>
      <c r="CW237" s="753"/>
      <c r="CX237" s="753"/>
      <c r="CY237" s="753"/>
      <c r="CZ237" s="753"/>
      <c r="DA237" s="753"/>
      <c r="DB237" s="753"/>
      <c r="DC237" s="753"/>
      <c r="DD237" s="753"/>
      <c r="DE237" s="753"/>
      <c r="DF237" s="753"/>
      <c r="DG237" s="753"/>
      <c r="DH237" s="776"/>
      <c r="DI237" s="758"/>
    </row>
    <row r="238" spans="1:113">
      <c r="A238" s="234"/>
      <c r="B238" s="38"/>
      <c r="C238" s="110"/>
      <c r="D238" s="38"/>
      <c r="E238" s="38"/>
      <c r="F238" s="38"/>
      <c r="G238" s="38"/>
      <c r="H238" s="38"/>
      <c r="I238" s="38"/>
      <c r="K238" s="758"/>
      <c r="L238" s="758"/>
      <c r="M238" s="758"/>
      <c r="N238" s="758"/>
      <c r="O238" s="778"/>
      <c r="P238" s="758"/>
      <c r="Q238" s="758"/>
      <c r="R238" s="758"/>
      <c r="S238" s="758"/>
      <c r="T238" s="758"/>
      <c r="U238" s="758"/>
      <c r="V238" s="758"/>
      <c r="W238" s="758"/>
      <c r="X238" s="758"/>
      <c r="Y238" s="758"/>
      <c r="Z238" s="758"/>
      <c r="AA238" s="758"/>
      <c r="AB238" s="758"/>
      <c r="AC238" s="758"/>
      <c r="AD238" s="758"/>
      <c r="AE238" s="758"/>
      <c r="AF238" s="758"/>
      <c r="AG238" s="758"/>
      <c r="CI238" s="753"/>
      <c r="CJ238" s="753"/>
      <c r="CK238" s="753"/>
      <c r="CL238" s="753"/>
      <c r="CM238" s="753"/>
      <c r="CN238" s="753"/>
      <c r="CO238" s="753"/>
      <c r="CP238" s="753"/>
      <c r="CQ238" s="753"/>
      <c r="CR238" s="753"/>
      <c r="CS238" s="753"/>
      <c r="CT238" s="753"/>
      <c r="CU238" s="753"/>
      <c r="CV238" s="753"/>
      <c r="CW238" s="753"/>
      <c r="CX238" s="753"/>
      <c r="CY238" s="753"/>
      <c r="CZ238" s="753"/>
      <c r="DA238" s="753"/>
      <c r="DB238" s="753"/>
      <c r="DC238" s="753"/>
      <c r="DD238" s="753"/>
      <c r="DE238" s="753"/>
      <c r="DF238" s="753"/>
      <c r="DG238" s="753"/>
      <c r="DH238" s="776"/>
      <c r="DI238" s="758"/>
    </row>
    <row r="239" spans="1:113">
      <c r="A239" s="38"/>
      <c r="B239" s="38"/>
      <c r="C239" s="38"/>
      <c r="D239" s="38"/>
      <c r="E239" s="38"/>
      <c r="F239" s="38"/>
      <c r="G239" s="38"/>
      <c r="H239" s="239"/>
      <c r="I239" s="38"/>
      <c r="K239" s="758"/>
      <c r="L239" s="758"/>
      <c r="M239" s="758"/>
      <c r="N239" s="758"/>
      <c r="O239" s="778"/>
      <c r="P239" s="758"/>
      <c r="Q239" s="758"/>
      <c r="R239" s="758"/>
      <c r="S239" s="758"/>
      <c r="T239" s="758"/>
      <c r="U239" s="758"/>
      <c r="V239" s="758"/>
      <c r="W239" s="758"/>
      <c r="X239" s="758"/>
      <c r="Y239" s="758"/>
      <c r="Z239" s="758"/>
      <c r="AA239" s="758"/>
      <c r="AB239" s="758"/>
      <c r="AC239" s="758"/>
      <c r="AD239" s="758"/>
      <c r="AE239" s="758"/>
      <c r="AF239" s="758"/>
      <c r="AG239" s="758"/>
      <c r="CI239" s="753"/>
      <c r="CJ239" s="753"/>
      <c r="CK239" s="753"/>
      <c r="CL239" s="753"/>
      <c r="CM239" s="753"/>
      <c r="CN239" s="753"/>
      <c r="CO239" s="753"/>
      <c r="CP239" s="753"/>
      <c r="CQ239" s="753"/>
      <c r="CR239" s="753"/>
      <c r="CS239" s="753"/>
      <c r="CT239" s="753"/>
      <c r="CU239" s="753"/>
      <c r="CV239" s="753"/>
      <c r="CW239" s="753"/>
      <c r="CX239" s="753"/>
      <c r="CY239" s="753"/>
      <c r="CZ239" s="753"/>
      <c r="DA239" s="753"/>
      <c r="DB239" s="753"/>
      <c r="DC239" s="753"/>
      <c r="DD239" s="753"/>
      <c r="DE239" s="753"/>
      <c r="DF239" s="753"/>
      <c r="DG239" s="753"/>
      <c r="DH239" s="776"/>
      <c r="DI239" s="758"/>
    </row>
    <row r="240" spans="1:113">
      <c r="A240" s="110"/>
      <c r="B240" s="53"/>
      <c r="C240" s="38"/>
      <c r="D240" s="89"/>
      <c r="E240" s="89"/>
      <c r="F240" s="89"/>
      <c r="G240" s="89"/>
      <c r="H240" s="38"/>
      <c r="I240" s="38"/>
      <c r="K240" s="758"/>
      <c r="L240" s="758"/>
      <c r="M240" s="758"/>
      <c r="N240" s="758"/>
      <c r="O240" s="778"/>
      <c r="P240" s="758"/>
      <c r="Q240" s="758"/>
      <c r="R240" s="758"/>
      <c r="S240" s="758"/>
      <c r="T240" s="758"/>
      <c r="U240" s="758"/>
      <c r="V240" s="758"/>
      <c r="W240" s="758"/>
      <c r="X240" s="758"/>
      <c r="Y240" s="758"/>
      <c r="Z240" s="758"/>
      <c r="AA240" s="758"/>
      <c r="AB240" s="758"/>
      <c r="AC240" s="758"/>
      <c r="AD240" s="758"/>
      <c r="AE240" s="758"/>
      <c r="AF240" s="758"/>
      <c r="AG240" s="758"/>
      <c r="CI240" s="753"/>
      <c r="CJ240" s="753"/>
      <c r="CK240" s="753"/>
      <c r="CL240" s="753"/>
      <c r="CM240" s="753"/>
      <c r="CN240" s="753"/>
      <c r="CO240" s="753"/>
      <c r="CP240" s="753"/>
      <c r="CQ240" s="753"/>
      <c r="CR240" s="753"/>
      <c r="CS240" s="753"/>
      <c r="CT240" s="753"/>
      <c r="CU240" s="753"/>
      <c r="CV240" s="753"/>
      <c r="CW240" s="753"/>
      <c r="CX240" s="753"/>
      <c r="CY240" s="753"/>
      <c r="CZ240" s="753"/>
      <c r="DA240" s="753"/>
      <c r="DB240" s="753"/>
      <c r="DC240" s="753"/>
      <c r="DD240" s="753"/>
      <c r="DE240" s="753"/>
      <c r="DF240" s="753"/>
      <c r="DG240" s="753"/>
      <c r="DH240" s="776"/>
      <c r="DI240" s="758"/>
    </row>
    <row r="241" spans="1:113">
      <c r="A241" s="234"/>
      <c r="B241" s="53"/>
      <c r="C241" s="110"/>
      <c r="D241" s="110"/>
      <c r="E241" s="89"/>
      <c r="F241" s="89"/>
      <c r="G241" s="89"/>
      <c r="H241" s="38"/>
      <c r="I241" s="89"/>
      <c r="K241" s="758"/>
      <c r="L241" s="758"/>
      <c r="M241" s="758"/>
      <c r="N241" s="758"/>
      <c r="O241" s="778"/>
      <c r="P241" s="758"/>
      <c r="Q241" s="758"/>
      <c r="R241" s="758"/>
      <c r="S241" s="758"/>
      <c r="T241" s="758"/>
      <c r="U241" s="758"/>
      <c r="V241" s="758"/>
      <c r="W241" s="758"/>
      <c r="X241" s="758"/>
      <c r="Y241" s="758"/>
      <c r="Z241" s="758"/>
      <c r="AA241" s="758"/>
      <c r="AB241" s="758"/>
      <c r="AC241" s="758"/>
      <c r="AD241" s="758"/>
      <c r="AE241" s="758"/>
      <c r="AF241" s="758"/>
      <c r="AG241" s="758"/>
      <c r="CI241" s="753"/>
      <c r="CJ241" s="753"/>
      <c r="CK241" s="753"/>
      <c r="CL241" s="753"/>
      <c r="CM241" s="753"/>
      <c r="CN241" s="753"/>
      <c r="CO241" s="753"/>
      <c r="CP241" s="753"/>
      <c r="CQ241" s="753"/>
      <c r="CR241" s="753"/>
      <c r="CS241" s="753"/>
      <c r="CT241" s="753"/>
      <c r="CU241" s="753"/>
      <c r="CV241" s="753"/>
      <c r="CW241" s="753"/>
      <c r="CX241" s="753"/>
      <c r="CY241" s="753"/>
      <c r="CZ241" s="753"/>
      <c r="DA241" s="753"/>
      <c r="DB241" s="753"/>
      <c r="DC241" s="753"/>
      <c r="DD241" s="753"/>
      <c r="DE241" s="753"/>
      <c r="DF241" s="753"/>
      <c r="DG241" s="753"/>
      <c r="DH241" s="776"/>
      <c r="DI241" s="758"/>
    </row>
    <row r="242" spans="1:113">
      <c r="A242" s="234"/>
      <c r="B242" s="53"/>
      <c r="C242" s="110"/>
      <c r="D242" s="110"/>
      <c r="E242" s="89"/>
      <c r="F242" s="89"/>
      <c r="G242" s="89"/>
      <c r="H242" s="89"/>
      <c r="I242" s="89"/>
      <c r="K242" s="758"/>
      <c r="L242" s="758"/>
      <c r="M242" s="758"/>
      <c r="N242" s="758"/>
      <c r="O242" s="778"/>
      <c r="P242" s="758"/>
      <c r="Q242" s="758"/>
      <c r="R242" s="758"/>
      <c r="S242" s="758"/>
      <c r="T242" s="758"/>
      <c r="U242" s="758"/>
      <c r="V242" s="758"/>
      <c r="W242" s="758"/>
      <c r="X242" s="758"/>
      <c r="Y242" s="758"/>
      <c r="Z242" s="758"/>
      <c r="AA242" s="758"/>
      <c r="AB242" s="758"/>
      <c r="AC242" s="758"/>
      <c r="AD242" s="758"/>
      <c r="AE242" s="758"/>
      <c r="AF242" s="758"/>
      <c r="AG242" s="758"/>
      <c r="CI242" s="753"/>
      <c r="CJ242" s="753"/>
      <c r="CK242" s="753"/>
      <c r="CL242" s="753"/>
      <c r="CM242" s="753"/>
      <c r="CN242" s="753"/>
      <c r="CO242" s="753"/>
      <c r="CP242" s="753"/>
      <c r="CQ242" s="753"/>
      <c r="CR242" s="753"/>
      <c r="CS242" s="753"/>
      <c r="CT242" s="753"/>
      <c r="CU242" s="753"/>
      <c r="CV242" s="753"/>
      <c r="CW242" s="753"/>
      <c r="CX242" s="753"/>
      <c r="CY242" s="753"/>
      <c r="CZ242" s="753"/>
      <c r="DA242" s="753"/>
      <c r="DB242" s="753"/>
      <c r="DC242" s="753"/>
      <c r="DD242" s="753"/>
      <c r="DE242" s="753"/>
      <c r="DF242" s="753"/>
      <c r="DG242" s="753"/>
      <c r="DH242" s="776"/>
      <c r="DI242" s="758"/>
    </row>
    <row r="243" spans="1:113">
      <c r="A243" s="234"/>
      <c r="B243" s="53"/>
      <c r="C243" s="110"/>
      <c r="D243" s="110"/>
      <c r="E243" s="89"/>
      <c r="F243" s="89"/>
      <c r="G243" s="89"/>
      <c r="H243" s="89"/>
      <c r="I243" s="89"/>
      <c r="K243" s="758"/>
      <c r="L243" s="758"/>
      <c r="M243" s="758"/>
      <c r="N243" s="758"/>
      <c r="O243" s="778"/>
      <c r="P243" s="758"/>
      <c r="Q243" s="758"/>
      <c r="R243" s="758"/>
      <c r="S243" s="758"/>
      <c r="T243" s="758"/>
      <c r="U243" s="758"/>
      <c r="V243" s="758"/>
      <c r="W243" s="758"/>
      <c r="X243" s="758"/>
      <c r="Y243" s="758"/>
      <c r="Z243" s="758"/>
      <c r="AA243" s="758"/>
      <c r="AB243" s="758"/>
      <c r="AC243" s="758"/>
      <c r="AD243" s="758"/>
      <c r="AE243" s="758"/>
      <c r="AF243" s="758"/>
      <c r="AG243" s="758"/>
      <c r="CI243" s="753"/>
      <c r="CJ243" s="753"/>
      <c r="CK243" s="753"/>
      <c r="CL243" s="753"/>
      <c r="CM243" s="753"/>
      <c r="CN243" s="753"/>
      <c r="CO243" s="753"/>
      <c r="CP243" s="753"/>
      <c r="CQ243" s="753"/>
      <c r="CR243" s="753"/>
      <c r="CS243" s="753"/>
      <c r="CT243" s="753"/>
      <c r="CU243" s="753"/>
      <c r="CV243" s="753"/>
      <c r="CW243" s="753"/>
      <c r="CX243" s="753"/>
      <c r="CY243" s="753"/>
      <c r="CZ243" s="753"/>
      <c r="DA243" s="753"/>
      <c r="DB243" s="753"/>
      <c r="DC243" s="753"/>
      <c r="DD243" s="753"/>
      <c r="DE243" s="753"/>
      <c r="DF243" s="753"/>
      <c r="DG243" s="753"/>
      <c r="DH243" s="776"/>
      <c r="DI243" s="758"/>
    </row>
    <row r="244" spans="1:113">
      <c r="A244" s="234"/>
      <c r="B244" s="38"/>
      <c r="C244" s="110"/>
      <c r="D244" s="110"/>
      <c r="E244" s="38"/>
      <c r="F244" s="38"/>
      <c r="G244" s="89"/>
      <c r="H244" s="89"/>
      <c r="I244" s="89"/>
      <c r="K244" s="758"/>
      <c r="L244" s="758"/>
      <c r="M244" s="758"/>
      <c r="N244" s="758"/>
      <c r="O244" s="778"/>
      <c r="P244" s="758"/>
      <c r="Q244" s="758"/>
      <c r="R244" s="758"/>
      <c r="S244" s="758"/>
      <c r="T244" s="758"/>
      <c r="U244" s="758"/>
      <c r="V244" s="758"/>
      <c r="W244" s="758"/>
      <c r="X244" s="758"/>
      <c r="Y244" s="758"/>
      <c r="Z244" s="758"/>
      <c r="AA244" s="758"/>
      <c r="AB244" s="758"/>
      <c r="AC244" s="758"/>
      <c r="AD244" s="758"/>
      <c r="AE244" s="758"/>
      <c r="AF244" s="758"/>
      <c r="AG244" s="758"/>
      <c r="CI244" s="753"/>
      <c r="CJ244" s="753"/>
      <c r="CK244" s="753"/>
      <c r="CL244" s="753"/>
      <c r="CM244" s="753"/>
      <c r="CN244" s="753"/>
      <c r="CO244" s="753"/>
      <c r="CP244" s="753"/>
      <c r="CQ244" s="753"/>
      <c r="CR244" s="753"/>
      <c r="CS244" s="753"/>
      <c r="CT244" s="753"/>
      <c r="CU244" s="753"/>
      <c r="CV244" s="753"/>
      <c r="CW244" s="753"/>
      <c r="CX244" s="753"/>
      <c r="CY244" s="753"/>
      <c r="CZ244" s="753"/>
      <c r="DA244" s="753"/>
      <c r="DB244" s="753"/>
      <c r="DC244" s="753"/>
      <c r="DD244" s="753"/>
      <c r="DE244" s="753"/>
      <c r="DF244" s="753"/>
      <c r="DG244" s="753"/>
      <c r="DH244" s="776"/>
      <c r="DI244" s="758"/>
    </row>
    <row r="245" spans="1:113">
      <c r="A245" s="110"/>
      <c r="B245" s="44"/>
      <c r="C245" s="38"/>
      <c r="D245" s="38"/>
      <c r="E245" s="38"/>
      <c r="F245" s="38"/>
      <c r="G245" s="89"/>
      <c r="H245" s="239"/>
      <c r="I245" s="89"/>
      <c r="K245" s="758"/>
      <c r="L245" s="758"/>
      <c r="M245" s="758"/>
      <c r="N245" s="758"/>
      <c r="O245" s="778"/>
      <c r="P245" s="758"/>
      <c r="Q245" s="758"/>
      <c r="R245" s="758"/>
      <c r="S245" s="758"/>
      <c r="T245" s="758"/>
      <c r="U245" s="758"/>
      <c r="V245" s="758"/>
      <c r="W245" s="758"/>
      <c r="X245" s="758"/>
      <c r="Y245" s="758"/>
      <c r="Z245" s="758"/>
      <c r="AA245" s="758"/>
      <c r="AB245" s="758"/>
      <c r="AC245" s="758"/>
      <c r="AD245" s="758"/>
      <c r="AE245" s="758"/>
      <c r="AF245" s="758"/>
      <c r="AG245" s="758"/>
      <c r="CI245" s="753"/>
      <c r="CJ245" s="753"/>
      <c r="CK245" s="753"/>
      <c r="CL245" s="753"/>
      <c r="CM245" s="753"/>
      <c r="CN245" s="753"/>
      <c r="CO245" s="753"/>
      <c r="CP245" s="753"/>
      <c r="CQ245" s="753"/>
      <c r="CR245" s="753"/>
      <c r="CS245" s="753"/>
      <c r="CT245" s="753"/>
      <c r="CU245" s="753"/>
      <c r="CV245" s="753"/>
      <c r="CW245" s="753"/>
      <c r="CX245" s="753"/>
      <c r="CY245" s="753"/>
      <c r="CZ245" s="753"/>
      <c r="DA245" s="753"/>
      <c r="DB245" s="753"/>
      <c r="DC245" s="753"/>
      <c r="DD245" s="753"/>
      <c r="DE245" s="753"/>
      <c r="DF245" s="753"/>
      <c r="DG245" s="753"/>
      <c r="DH245" s="776"/>
      <c r="DI245" s="758"/>
    </row>
    <row r="246" spans="1:113">
      <c r="A246" s="234"/>
      <c r="B246" s="53"/>
      <c r="C246" s="110"/>
      <c r="D246" s="110"/>
      <c r="E246" s="38"/>
      <c r="F246" s="38"/>
      <c r="G246" s="38"/>
      <c r="H246" s="38"/>
      <c r="I246" s="89"/>
      <c r="K246" s="758"/>
      <c r="L246" s="758"/>
      <c r="M246" s="758"/>
      <c r="N246" s="758"/>
      <c r="O246" s="778"/>
      <c r="P246" s="758"/>
      <c r="Q246" s="758"/>
      <c r="R246" s="758"/>
      <c r="S246" s="758"/>
      <c r="T246" s="758"/>
      <c r="U246" s="758"/>
      <c r="V246" s="758"/>
      <c r="W246" s="758"/>
      <c r="X246" s="758"/>
      <c r="Y246" s="758"/>
      <c r="Z246" s="758"/>
      <c r="AA246" s="758"/>
      <c r="AB246" s="758"/>
      <c r="AC246" s="758"/>
      <c r="AD246" s="758"/>
      <c r="AE246" s="758"/>
      <c r="AF246" s="758"/>
      <c r="AG246" s="758"/>
      <c r="CI246" s="753"/>
      <c r="CJ246" s="753"/>
      <c r="CK246" s="753"/>
      <c r="CL246" s="753"/>
      <c r="CM246" s="753"/>
      <c r="CN246" s="753"/>
      <c r="CO246" s="753"/>
      <c r="CP246" s="753"/>
      <c r="CQ246" s="753"/>
      <c r="CR246" s="753"/>
      <c r="CS246" s="753"/>
      <c r="CT246" s="753"/>
      <c r="CU246" s="753"/>
      <c r="CV246" s="753"/>
      <c r="CW246" s="753"/>
      <c r="CX246" s="753"/>
      <c r="CY246" s="753"/>
      <c r="CZ246" s="753"/>
      <c r="DA246" s="753"/>
      <c r="DB246" s="753"/>
      <c r="DC246" s="753"/>
      <c r="DD246" s="753"/>
      <c r="DE246" s="753"/>
      <c r="DF246" s="753"/>
      <c r="DG246" s="753"/>
      <c r="DH246" s="776"/>
      <c r="DI246" s="758"/>
    </row>
    <row r="247" spans="1:113">
      <c r="A247" s="234"/>
      <c r="B247" s="53"/>
      <c r="C247" s="110"/>
      <c r="D247" s="110"/>
      <c r="E247" s="38"/>
      <c r="F247" s="38"/>
      <c r="G247" s="38"/>
      <c r="H247" s="89"/>
      <c r="I247" s="89"/>
      <c r="K247" s="758"/>
      <c r="L247" s="758"/>
      <c r="M247" s="758"/>
      <c r="N247" s="758"/>
      <c r="O247" s="778"/>
      <c r="P247" s="758"/>
      <c r="Q247" s="758"/>
      <c r="R247" s="758"/>
      <c r="S247" s="758"/>
      <c r="T247" s="758"/>
      <c r="U247" s="758"/>
      <c r="V247" s="758"/>
      <c r="W247" s="758"/>
      <c r="X247" s="758"/>
      <c r="Y247" s="758"/>
      <c r="Z247" s="758"/>
      <c r="AA247" s="758"/>
      <c r="AB247" s="758"/>
      <c r="AC247" s="758"/>
      <c r="AD247" s="758"/>
      <c r="AE247" s="758"/>
      <c r="AF247" s="758"/>
      <c r="AG247" s="758"/>
      <c r="CI247" s="753"/>
      <c r="CJ247" s="753"/>
      <c r="CK247" s="753"/>
      <c r="CL247" s="753"/>
      <c r="CM247" s="753"/>
      <c r="CN247" s="753"/>
      <c r="CO247" s="753"/>
      <c r="CP247" s="753"/>
      <c r="CQ247" s="753"/>
      <c r="CR247" s="753"/>
      <c r="CS247" s="753"/>
      <c r="CT247" s="753"/>
      <c r="CU247" s="753"/>
      <c r="CV247" s="753"/>
      <c r="CW247" s="753"/>
      <c r="CX247" s="753"/>
      <c r="CY247" s="753"/>
      <c r="CZ247" s="753"/>
      <c r="DA247" s="753"/>
      <c r="DB247" s="753"/>
      <c r="DC247" s="753"/>
      <c r="DD247" s="753"/>
      <c r="DE247" s="753"/>
      <c r="DF247" s="753"/>
      <c r="DG247" s="753"/>
      <c r="DH247" s="776"/>
      <c r="DI247" s="758"/>
    </row>
    <row r="248" spans="1:113">
      <c r="A248" s="234"/>
      <c r="B248" s="33"/>
      <c r="C248" s="110"/>
      <c r="D248" s="110"/>
      <c r="E248" s="38"/>
      <c r="F248" s="38"/>
      <c r="G248" s="89"/>
      <c r="H248" s="239"/>
      <c r="I248" s="89"/>
      <c r="K248" s="758"/>
      <c r="L248" s="758"/>
      <c r="M248" s="758"/>
      <c r="N248" s="758"/>
      <c r="O248" s="778"/>
      <c r="P248" s="758"/>
      <c r="Q248" s="758"/>
      <c r="R248" s="758"/>
      <c r="S248" s="758"/>
      <c r="T248" s="758"/>
      <c r="U248" s="758"/>
      <c r="V248" s="758"/>
      <c r="W248" s="758"/>
      <c r="X248" s="758"/>
      <c r="Y248" s="758"/>
      <c r="Z248" s="758"/>
      <c r="AA248" s="758"/>
      <c r="AB248" s="758"/>
      <c r="AC248" s="758"/>
      <c r="AD248" s="758"/>
      <c r="AE248" s="758"/>
      <c r="AF248" s="758"/>
      <c r="AG248" s="758"/>
      <c r="CI248" s="753"/>
      <c r="CJ248" s="753"/>
      <c r="CK248" s="753"/>
      <c r="CL248" s="753"/>
      <c r="CM248" s="753"/>
      <c r="CN248" s="753"/>
      <c r="CO248" s="753"/>
      <c r="CP248" s="753"/>
      <c r="CQ248" s="753"/>
      <c r="CR248" s="753"/>
      <c r="CS248" s="753"/>
      <c r="CT248" s="753"/>
      <c r="CU248" s="753"/>
      <c r="CV248" s="753"/>
      <c r="CW248" s="753"/>
      <c r="CX248" s="753"/>
      <c r="CY248" s="753"/>
      <c r="CZ248" s="753"/>
      <c r="DA248" s="753"/>
      <c r="DB248" s="753"/>
      <c r="DC248" s="753"/>
      <c r="DD248" s="753"/>
      <c r="DE248" s="753"/>
      <c r="DF248" s="753"/>
      <c r="DG248" s="753"/>
      <c r="DH248" s="776"/>
      <c r="DI248" s="758"/>
    </row>
    <row r="249" spans="1:113">
      <c r="A249" s="38"/>
      <c r="B249" s="53"/>
      <c r="C249" s="38"/>
      <c r="D249" s="110"/>
      <c r="E249" s="38"/>
      <c r="F249" s="38"/>
      <c r="G249" s="38"/>
      <c r="H249" s="89"/>
      <c r="I249" s="89"/>
      <c r="K249" s="758"/>
      <c r="L249" s="758"/>
      <c r="M249" s="758"/>
      <c r="N249" s="758"/>
      <c r="O249" s="778"/>
      <c r="P249" s="758"/>
      <c r="Q249" s="758"/>
      <c r="R249" s="758"/>
      <c r="S249" s="758"/>
      <c r="T249" s="758"/>
      <c r="U249" s="758"/>
      <c r="V249" s="758"/>
      <c r="W249" s="758"/>
      <c r="X249" s="758"/>
      <c r="Y249" s="758"/>
      <c r="Z249" s="758"/>
      <c r="AA249" s="758"/>
      <c r="AB249" s="758"/>
      <c r="AC249" s="758"/>
      <c r="AD249" s="758"/>
      <c r="AE249" s="758"/>
      <c r="AF249" s="758"/>
      <c r="AG249" s="758"/>
      <c r="CI249" s="753"/>
      <c r="CJ249" s="753"/>
      <c r="CK249" s="753"/>
      <c r="CL249" s="753"/>
      <c r="CM249" s="753"/>
      <c r="CN249" s="753"/>
      <c r="CO249" s="753"/>
      <c r="CP249" s="753"/>
      <c r="CQ249" s="753"/>
      <c r="CR249" s="753"/>
      <c r="CS249" s="753"/>
      <c r="CT249" s="753"/>
      <c r="CU249" s="753"/>
      <c r="CV249" s="753"/>
      <c r="CW249" s="753"/>
      <c r="CX249" s="753"/>
      <c r="CY249" s="753"/>
      <c r="CZ249" s="753"/>
      <c r="DA249" s="753"/>
      <c r="DB249" s="753"/>
      <c r="DC249" s="753"/>
      <c r="DD249" s="753"/>
      <c r="DE249" s="753"/>
      <c r="DF249" s="753"/>
      <c r="DG249" s="753"/>
      <c r="DH249" s="776"/>
      <c r="DI249" s="758"/>
    </row>
    <row r="250" spans="1:113">
      <c r="A250" s="243"/>
      <c r="B250" s="44"/>
      <c r="C250" s="110"/>
      <c r="D250" s="110"/>
      <c r="E250" s="38"/>
      <c r="F250" s="38"/>
      <c r="G250" s="38"/>
      <c r="H250" s="89"/>
      <c r="I250" s="89"/>
      <c r="K250" s="758"/>
      <c r="L250" s="758"/>
      <c r="M250" s="758"/>
      <c r="N250" s="758"/>
      <c r="O250" s="778"/>
      <c r="P250" s="758"/>
      <c r="Q250" s="758"/>
      <c r="R250" s="758"/>
      <c r="S250" s="758"/>
      <c r="T250" s="758"/>
      <c r="U250" s="758"/>
      <c r="V250" s="758"/>
      <c r="W250" s="758"/>
      <c r="X250" s="758"/>
      <c r="Y250" s="758"/>
      <c r="Z250" s="758"/>
      <c r="AA250" s="758"/>
      <c r="AB250" s="758"/>
      <c r="AC250" s="758"/>
      <c r="AD250" s="758"/>
      <c r="AE250" s="758"/>
      <c r="AF250" s="758"/>
      <c r="AG250" s="758"/>
      <c r="CI250" s="753"/>
      <c r="CJ250" s="753"/>
      <c r="CK250" s="753"/>
      <c r="CL250" s="753"/>
      <c r="CM250" s="753"/>
      <c r="CN250" s="753"/>
      <c r="CO250" s="753"/>
      <c r="CP250" s="753"/>
      <c r="CQ250" s="753"/>
      <c r="CR250" s="753"/>
      <c r="CS250" s="753"/>
      <c r="CT250" s="753"/>
      <c r="CU250" s="753"/>
      <c r="CV250" s="753"/>
      <c r="CW250" s="753"/>
      <c r="CX250" s="753"/>
      <c r="CY250" s="753"/>
      <c r="CZ250" s="753"/>
      <c r="DA250" s="753"/>
      <c r="DB250" s="753"/>
      <c r="DC250" s="753"/>
      <c r="DD250" s="753"/>
      <c r="DE250" s="753"/>
      <c r="DF250" s="753"/>
      <c r="DG250" s="753"/>
      <c r="DH250" s="776"/>
      <c r="DI250" s="758"/>
    </row>
    <row r="251" spans="1:113">
      <c r="A251" s="234"/>
      <c r="B251" s="53"/>
      <c r="C251" s="110"/>
      <c r="D251" s="110"/>
      <c r="E251" s="38"/>
      <c r="F251" s="38"/>
      <c r="G251" s="38"/>
      <c r="H251" s="89"/>
      <c r="I251" s="89"/>
      <c r="K251" s="758"/>
      <c r="L251" s="758"/>
      <c r="M251" s="758"/>
      <c r="N251" s="758"/>
      <c r="O251" s="778"/>
      <c r="P251" s="758"/>
      <c r="Q251" s="758"/>
      <c r="R251" s="758"/>
      <c r="S251" s="758"/>
      <c r="T251" s="758"/>
      <c r="U251" s="758"/>
      <c r="V251" s="758"/>
      <c r="W251" s="758"/>
      <c r="X251" s="758"/>
      <c r="Y251" s="758"/>
      <c r="Z251" s="758"/>
      <c r="AA251" s="758"/>
      <c r="AB251" s="758"/>
      <c r="AC251" s="758"/>
      <c r="AD251" s="758"/>
      <c r="AE251" s="758"/>
      <c r="AF251" s="758"/>
      <c r="AG251" s="758"/>
      <c r="CI251" s="753"/>
      <c r="CJ251" s="753"/>
      <c r="CK251" s="753"/>
      <c r="CL251" s="753"/>
      <c r="CM251" s="753"/>
      <c r="CN251" s="753"/>
      <c r="CO251" s="753"/>
      <c r="CP251" s="753"/>
      <c r="CQ251" s="753"/>
      <c r="CR251" s="753"/>
      <c r="CS251" s="753"/>
      <c r="CT251" s="753"/>
      <c r="CU251" s="753"/>
      <c r="CV251" s="753"/>
      <c r="CW251" s="753"/>
      <c r="CX251" s="753"/>
      <c r="CY251" s="753"/>
      <c r="CZ251" s="753"/>
      <c r="DA251" s="753"/>
      <c r="DB251" s="753"/>
      <c r="DC251" s="753"/>
      <c r="DD251" s="753"/>
      <c r="DE251" s="753"/>
      <c r="DF251" s="753"/>
      <c r="DG251" s="753"/>
      <c r="DH251" s="776"/>
      <c r="DI251" s="758"/>
    </row>
    <row r="252" spans="1:113">
      <c r="A252" s="234"/>
      <c r="B252" s="240"/>
      <c r="C252" s="110"/>
      <c r="D252" s="110"/>
      <c r="E252" s="38"/>
      <c r="F252" s="38"/>
      <c r="G252" s="38"/>
      <c r="H252" s="89"/>
      <c r="I252" s="89"/>
      <c r="K252" s="758"/>
      <c r="L252" s="758"/>
      <c r="M252" s="758"/>
      <c r="N252" s="758"/>
      <c r="O252" s="778"/>
      <c r="P252" s="758"/>
      <c r="Q252" s="758"/>
      <c r="R252" s="758"/>
      <c r="S252" s="758"/>
      <c r="T252" s="758"/>
      <c r="U252" s="758"/>
      <c r="V252" s="758"/>
      <c r="W252" s="758"/>
      <c r="X252" s="758"/>
      <c r="Y252" s="758"/>
      <c r="Z252" s="758"/>
      <c r="AA252" s="758"/>
      <c r="AB252" s="758"/>
      <c r="AC252" s="758"/>
      <c r="AD252" s="758"/>
      <c r="AE252" s="758"/>
      <c r="AF252" s="758"/>
      <c r="AG252" s="758"/>
      <c r="CI252" s="753"/>
      <c r="CJ252" s="753"/>
      <c r="CK252" s="753"/>
      <c r="CL252" s="753"/>
      <c r="CM252" s="753"/>
      <c r="CN252" s="753"/>
      <c r="CO252" s="753"/>
      <c r="CP252" s="753"/>
      <c r="CQ252" s="753"/>
      <c r="CR252" s="753"/>
      <c r="CS252" s="753"/>
      <c r="CT252" s="753"/>
      <c r="CU252" s="753"/>
      <c r="CV252" s="753"/>
      <c r="CW252" s="753"/>
      <c r="CX252" s="753"/>
      <c r="CY252" s="753"/>
      <c r="CZ252" s="753"/>
      <c r="DA252" s="753"/>
      <c r="DB252" s="753"/>
      <c r="DC252" s="753"/>
      <c r="DD252" s="753"/>
      <c r="DE252" s="753"/>
      <c r="DF252" s="753"/>
      <c r="DG252" s="753"/>
      <c r="DH252" s="776"/>
      <c r="DI252" s="758"/>
    </row>
    <row r="253" spans="1:113">
      <c r="A253" s="234"/>
      <c r="B253" s="53"/>
      <c r="C253" s="110"/>
      <c r="D253" s="110"/>
      <c r="E253" s="38"/>
      <c r="F253" s="38"/>
      <c r="G253" s="38"/>
      <c r="H253" s="89"/>
      <c r="I253" s="89"/>
      <c r="K253" s="758"/>
      <c r="L253" s="758"/>
      <c r="M253" s="758"/>
      <c r="N253" s="758"/>
      <c r="O253" s="778"/>
      <c r="P253" s="758"/>
      <c r="Q253" s="758"/>
      <c r="R253" s="758"/>
      <c r="S253" s="758"/>
      <c r="T253" s="758"/>
      <c r="U253" s="758"/>
      <c r="V253" s="758"/>
      <c r="W253" s="758"/>
      <c r="X253" s="758"/>
      <c r="Y253" s="758"/>
      <c r="Z253" s="758"/>
      <c r="AA253" s="758"/>
      <c r="AB253" s="758"/>
      <c r="AC253" s="758"/>
      <c r="AD253" s="758"/>
      <c r="AE253" s="758"/>
      <c r="AF253" s="758"/>
      <c r="AG253" s="758"/>
      <c r="CI253" s="753"/>
      <c r="CJ253" s="753"/>
      <c r="CK253" s="753"/>
      <c r="CL253" s="753"/>
      <c r="CM253" s="753"/>
      <c r="CN253" s="753"/>
      <c r="CO253" s="753"/>
      <c r="CP253" s="753"/>
      <c r="CQ253" s="753"/>
      <c r="CR253" s="753"/>
      <c r="CS253" s="753"/>
      <c r="CT253" s="753"/>
      <c r="CU253" s="753"/>
      <c r="CV253" s="753"/>
      <c r="CW253" s="753"/>
      <c r="CX253" s="753"/>
      <c r="CY253" s="753"/>
      <c r="CZ253" s="753"/>
      <c r="DA253" s="753"/>
      <c r="DB253" s="753"/>
      <c r="DC253" s="753"/>
      <c r="DD253" s="753"/>
      <c r="DE253" s="753"/>
      <c r="DF253" s="753"/>
      <c r="DG253" s="753"/>
      <c r="DH253" s="776"/>
      <c r="DI253" s="758"/>
    </row>
    <row r="254" spans="1:113">
      <c r="A254" s="234"/>
      <c r="B254" s="53"/>
      <c r="C254" s="110"/>
      <c r="D254" s="110"/>
      <c r="E254" s="38"/>
      <c r="F254" s="38"/>
      <c r="G254" s="38"/>
      <c r="H254" s="89"/>
      <c r="I254" s="89"/>
      <c r="K254" s="758"/>
      <c r="L254" s="758"/>
      <c r="M254" s="758"/>
      <c r="N254" s="758"/>
      <c r="O254" s="778"/>
      <c r="P254" s="758"/>
      <c r="Q254" s="758"/>
      <c r="R254" s="758"/>
      <c r="S254" s="758"/>
      <c r="T254" s="758"/>
      <c r="U254" s="758"/>
      <c r="V254" s="758"/>
      <c r="W254" s="758"/>
      <c r="X254" s="758"/>
      <c r="Y254" s="758"/>
      <c r="Z254" s="758"/>
      <c r="AA254" s="758"/>
      <c r="AB254" s="758"/>
      <c r="AC254" s="758"/>
      <c r="AD254" s="758"/>
      <c r="AE254" s="758"/>
      <c r="AF254" s="758"/>
      <c r="AG254" s="758"/>
      <c r="CI254" s="753"/>
      <c r="CJ254" s="753"/>
      <c r="CK254" s="753"/>
      <c r="CL254" s="753"/>
      <c r="CM254" s="753"/>
      <c r="CN254" s="753"/>
      <c r="CO254" s="753"/>
      <c r="CP254" s="753"/>
      <c r="CQ254" s="753"/>
      <c r="CR254" s="753"/>
      <c r="CS254" s="753"/>
      <c r="CT254" s="753"/>
      <c r="CU254" s="753"/>
      <c r="CV254" s="753"/>
      <c r="CW254" s="753"/>
      <c r="CX254" s="753"/>
      <c r="CY254" s="753"/>
      <c r="CZ254" s="753"/>
      <c r="DA254" s="753"/>
      <c r="DB254" s="753"/>
      <c r="DC254" s="753"/>
      <c r="DD254" s="753"/>
      <c r="DE254" s="753"/>
      <c r="DF254" s="753"/>
      <c r="DG254" s="753"/>
      <c r="DH254" s="776"/>
      <c r="DI254" s="758"/>
    </row>
    <row r="255" spans="1:113">
      <c r="A255" s="234"/>
      <c r="B255" s="38"/>
      <c r="C255" s="110"/>
      <c r="D255" s="110"/>
      <c r="E255" s="38"/>
      <c r="F255" s="38"/>
      <c r="G255" s="89"/>
      <c r="H255" s="239"/>
      <c r="I255" s="38"/>
      <c r="K255" s="758"/>
      <c r="L255" s="758"/>
      <c r="M255" s="758"/>
      <c r="N255" s="758"/>
      <c r="O255" s="778"/>
      <c r="P255" s="758"/>
      <c r="Q255" s="758"/>
      <c r="R255" s="758"/>
      <c r="S255" s="758"/>
      <c r="T255" s="758"/>
      <c r="U255" s="758"/>
      <c r="V255" s="758"/>
      <c r="W255" s="758"/>
      <c r="X255" s="758"/>
      <c r="Y255" s="758"/>
      <c r="Z255" s="758"/>
      <c r="AA255" s="758"/>
      <c r="AB255" s="758"/>
      <c r="AC255" s="758"/>
      <c r="AD255" s="758"/>
      <c r="AE255" s="758"/>
      <c r="AF255" s="758"/>
      <c r="AG255" s="758"/>
      <c r="CI255" s="753"/>
      <c r="CJ255" s="753"/>
      <c r="CK255" s="753"/>
      <c r="CL255" s="753"/>
      <c r="CM255" s="753"/>
      <c r="CN255" s="753"/>
      <c r="CO255" s="753"/>
      <c r="CP255" s="753"/>
      <c r="CQ255" s="753"/>
      <c r="CR255" s="753"/>
      <c r="CS255" s="753"/>
      <c r="CT255" s="753"/>
      <c r="CU255" s="753"/>
      <c r="CV255" s="753"/>
      <c r="CW255" s="753"/>
      <c r="CX255" s="753"/>
      <c r="CY255" s="753"/>
      <c r="CZ255" s="753"/>
      <c r="DA255" s="753"/>
      <c r="DB255" s="753"/>
      <c r="DC255" s="753"/>
      <c r="DD255" s="753"/>
      <c r="DE255" s="753"/>
      <c r="DF255" s="753"/>
      <c r="DG255" s="753"/>
      <c r="DH255" s="776"/>
      <c r="DI255" s="758"/>
    </row>
    <row r="256" spans="1:113">
      <c r="A256" s="38"/>
      <c r="B256" s="53"/>
      <c r="C256" s="38"/>
      <c r="D256" s="110"/>
      <c r="E256" s="38"/>
      <c r="F256" s="38"/>
      <c r="G256" s="38"/>
      <c r="H256" s="38"/>
      <c r="I256" s="38"/>
      <c r="K256" s="758"/>
      <c r="L256" s="758"/>
      <c r="M256" s="758"/>
      <c r="N256" s="758"/>
      <c r="O256" s="778"/>
      <c r="P256" s="758"/>
      <c r="Q256" s="758"/>
      <c r="R256" s="758"/>
      <c r="S256" s="758"/>
      <c r="T256" s="758"/>
      <c r="U256" s="758"/>
      <c r="V256" s="758"/>
      <c r="W256" s="758"/>
      <c r="X256" s="758"/>
      <c r="Y256" s="758"/>
      <c r="Z256" s="758"/>
      <c r="AA256" s="758"/>
      <c r="AB256" s="758"/>
      <c r="AC256" s="758"/>
      <c r="AD256" s="758"/>
      <c r="AE256" s="758"/>
      <c r="AF256" s="758"/>
      <c r="AG256" s="758"/>
      <c r="CI256" s="753"/>
      <c r="CJ256" s="753"/>
      <c r="CK256" s="753"/>
      <c r="CL256" s="753"/>
      <c r="CM256" s="753"/>
      <c r="CN256" s="753"/>
      <c r="CO256" s="753"/>
      <c r="CP256" s="753"/>
      <c r="CQ256" s="753"/>
      <c r="CR256" s="753"/>
      <c r="CS256" s="753"/>
      <c r="CT256" s="753"/>
      <c r="CU256" s="753"/>
      <c r="CV256" s="753"/>
      <c r="CW256" s="753"/>
      <c r="CX256" s="753"/>
      <c r="CY256" s="753"/>
      <c r="CZ256" s="753"/>
      <c r="DA256" s="753"/>
      <c r="DB256" s="753"/>
      <c r="DC256" s="753"/>
      <c r="DD256" s="753"/>
      <c r="DE256" s="753"/>
      <c r="DF256" s="753"/>
      <c r="DG256" s="753"/>
      <c r="DH256" s="776"/>
      <c r="DI256" s="758"/>
    </row>
    <row r="257" spans="1:113">
      <c r="A257" s="234"/>
      <c r="B257" s="44"/>
      <c r="C257" s="110"/>
      <c r="D257" s="110"/>
      <c r="E257" s="38"/>
      <c r="F257" s="38"/>
      <c r="G257" s="38"/>
      <c r="H257" s="38"/>
      <c r="I257" s="89"/>
      <c r="K257" s="758"/>
      <c r="L257" s="758"/>
      <c r="M257" s="758"/>
      <c r="N257" s="758"/>
      <c r="O257" s="778"/>
      <c r="P257" s="758"/>
      <c r="Q257" s="758"/>
      <c r="R257" s="758"/>
      <c r="S257" s="758"/>
      <c r="T257" s="758"/>
      <c r="U257" s="758"/>
      <c r="V257" s="758"/>
      <c r="W257" s="758"/>
      <c r="X257" s="758"/>
      <c r="Y257" s="758"/>
      <c r="Z257" s="758"/>
      <c r="AA257" s="758"/>
      <c r="AB257" s="758"/>
      <c r="AC257" s="758"/>
      <c r="AD257" s="758"/>
      <c r="AE257" s="758"/>
      <c r="AF257" s="758"/>
      <c r="AG257" s="758"/>
      <c r="CI257" s="753"/>
      <c r="CJ257" s="753"/>
      <c r="CK257" s="753"/>
      <c r="CL257" s="753"/>
      <c r="CM257" s="753"/>
      <c r="CN257" s="753"/>
      <c r="CO257" s="753"/>
      <c r="CP257" s="753"/>
      <c r="CQ257" s="753"/>
      <c r="CR257" s="753"/>
      <c r="CS257" s="753"/>
      <c r="CT257" s="753"/>
      <c r="CU257" s="753"/>
      <c r="CV257" s="753"/>
      <c r="CW257" s="753"/>
      <c r="CX257" s="753"/>
      <c r="CY257" s="753"/>
      <c r="CZ257" s="753"/>
      <c r="DA257" s="753"/>
      <c r="DB257" s="753"/>
      <c r="DC257" s="753"/>
      <c r="DD257" s="753"/>
      <c r="DE257" s="753"/>
      <c r="DF257" s="753"/>
      <c r="DG257" s="753"/>
      <c r="DH257" s="776"/>
      <c r="DI257" s="758"/>
    </row>
    <row r="258" spans="1:113">
      <c r="A258" s="234"/>
      <c r="B258" s="44"/>
      <c r="C258" s="110"/>
      <c r="D258" s="110"/>
      <c r="E258" s="38"/>
      <c r="F258" s="38"/>
      <c r="G258" s="38"/>
      <c r="H258" s="38"/>
      <c r="I258" s="38"/>
      <c r="K258" s="758"/>
      <c r="L258" s="758"/>
      <c r="M258" s="758"/>
      <c r="N258" s="758"/>
      <c r="O258" s="778"/>
      <c r="P258" s="758"/>
      <c r="Q258" s="758"/>
      <c r="R258" s="758"/>
      <c r="S258" s="758"/>
      <c r="T258" s="758"/>
      <c r="U258" s="758"/>
      <c r="V258" s="758"/>
      <c r="W258" s="758"/>
      <c r="X258" s="758"/>
      <c r="Y258" s="758"/>
      <c r="Z258" s="758"/>
      <c r="AA258" s="758"/>
      <c r="AB258" s="758"/>
      <c r="AC258" s="758"/>
      <c r="AD258" s="758"/>
      <c r="AE258" s="758"/>
      <c r="AF258" s="758"/>
      <c r="AG258" s="758"/>
      <c r="CI258" s="753"/>
      <c r="CJ258" s="753"/>
      <c r="CK258" s="753"/>
      <c r="CL258" s="753"/>
      <c r="CM258" s="753"/>
      <c r="CN258" s="753"/>
      <c r="CO258" s="753"/>
      <c r="CP258" s="753"/>
      <c r="CQ258" s="753"/>
      <c r="CR258" s="753"/>
      <c r="CS258" s="753"/>
      <c r="CT258" s="753"/>
      <c r="CU258" s="753"/>
      <c r="CV258" s="753"/>
      <c r="CW258" s="753"/>
      <c r="CX258" s="753"/>
      <c r="CY258" s="753"/>
      <c r="CZ258" s="753"/>
      <c r="DA258" s="753"/>
      <c r="DB258" s="753"/>
      <c r="DC258" s="753"/>
      <c r="DD258" s="753"/>
      <c r="DE258" s="753"/>
      <c r="DF258" s="753"/>
      <c r="DG258" s="753"/>
      <c r="DH258" s="776"/>
      <c r="DI258" s="758"/>
    </row>
    <row r="259" spans="1:113">
      <c r="A259" s="241"/>
      <c r="B259" s="44"/>
      <c r="C259" s="110"/>
      <c r="D259" s="232"/>
      <c r="E259" s="89"/>
      <c r="F259" s="89"/>
      <c r="G259" s="89"/>
      <c r="H259" s="235"/>
      <c r="I259" s="38"/>
      <c r="K259" s="758"/>
      <c r="L259" s="758"/>
      <c r="M259" s="758"/>
      <c r="N259" s="758"/>
      <c r="O259" s="778"/>
      <c r="P259" s="758"/>
      <c r="Q259" s="758"/>
      <c r="R259" s="758"/>
      <c r="S259" s="758"/>
      <c r="T259" s="758"/>
      <c r="U259" s="758"/>
      <c r="V259" s="758"/>
      <c r="W259" s="758"/>
      <c r="X259" s="758"/>
      <c r="Y259" s="758"/>
      <c r="Z259" s="758"/>
      <c r="AA259" s="758"/>
      <c r="AB259" s="758"/>
      <c r="AC259" s="758"/>
      <c r="AD259" s="758"/>
      <c r="AE259" s="758"/>
      <c r="AF259" s="758"/>
      <c r="AG259" s="758"/>
      <c r="CI259" s="753"/>
      <c r="CJ259" s="753"/>
      <c r="CK259" s="753"/>
      <c r="CL259" s="753"/>
      <c r="CM259" s="753"/>
      <c r="CN259" s="753"/>
      <c r="CO259" s="753"/>
      <c r="CP259" s="753"/>
      <c r="CQ259" s="753"/>
      <c r="CR259" s="753"/>
      <c r="CS259" s="753"/>
      <c r="CT259" s="753"/>
      <c r="CU259" s="753"/>
      <c r="CV259" s="753"/>
      <c r="CW259" s="753"/>
      <c r="CX259" s="753"/>
      <c r="CY259" s="753"/>
      <c r="CZ259" s="753"/>
      <c r="DA259" s="753"/>
      <c r="DB259" s="753"/>
      <c r="DC259" s="753"/>
      <c r="DD259" s="753"/>
      <c r="DE259" s="753"/>
      <c r="DF259" s="753"/>
      <c r="DG259" s="753"/>
      <c r="DH259" s="776"/>
      <c r="DI259" s="758"/>
    </row>
    <row r="260" spans="1:113">
      <c r="A260" s="241"/>
      <c r="B260" s="89"/>
      <c r="C260" s="110"/>
      <c r="D260" s="232"/>
      <c r="E260" s="89"/>
      <c r="F260" s="89"/>
      <c r="G260" s="89"/>
      <c r="H260" s="89"/>
      <c r="I260" s="89"/>
      <c r="K260" s="758"/>
      <c r="L260" s="758"/>
      <c r="M260" s="758"/>
      <c r="N260" s="758"/>
      <c r="O260" s="778"/>
      <c r="P260" s="758"/>
      <c r="Q260" s="758"/>
      <c r="R260" s="758"/>
      <c r="S260" s="758"/>
      <c r="T260" s="758"/>
      <c r="U260" s="758"/>
      <c r="V260" s="758"/>
      <c r="W260" s="758"/>
      <c r="X260" s="758"/>
      <c r="Y260" s="758"/>
      <c r="Z260" s="758"/>
      <c r="AA260" s="758"/>
      <c r="AB260" s="758"/>
      <c r="AC260" s="758"/>
      <c r="AD260" s="758"/>
      <c r="AE260" s="758"/>
      <c r="AF260" s="758"/>
      <c r="AG260" s="758"/>
      <c r="CI260" s="753"/>
      <c r="CJ260" s="753"/>
      <c r="CK260" s="753"/>
      <c r="CL260" s="753"/>
      <c r="CM260" s="753"/>
      <c r="CN260" s="753"/>
      <c r="CO260" s="753"/>
      <c r="CP260" s="753"/>
      <c r="CQ260" s="753"/>
      <c r="CR260" s="753"/>
      <c r="CS260" s="753"/>
      <c r="CT260" s="753"/>
      <c r="CU260" s="753"/>
      <c r="CV260" s="753"/>
      <c r="CW260" s="753"/>
      <c r="CX260" s="753"/>
      <c r="CY260" s="753"/>
      <c r="CZ260" s="753"/>
      <c r="DA260" s="753"/>
      <c r="DB260" s="753"/>
      <c r="DC260" s="753"/>
      <c r="DD260" s="753"/>
      <c r="DE260" s="753"/>
      <c r="DF260" s="753"/>
      <c r="DG260" s="753"/>
      <c r="DH260" s="776"/>
      <c r="DI260" s="758"/>
    </row>
    <row r="261" spans="1:113">
      <c r="A261" s="89"/>
      <c r="B261" s="89"/>
      <c r="C261" s="89"/>
      <c r="D261" s="89"/>
      <c r="E261" s="89"/>
      <c r="F261" s="89"/>
      <c r="G261" s="235"/>
      <c r="H261" s="89"/>
      <c r="I261" s="89"/>
      <c r="K261" s="758"/>
      <c r="L261" s="758"/>
      <c r="M261" s="758"/>
      <c r="N261" s="758"/>
      <c r="O261" s="778"/>
      <c r="P261" s="758"/>
      <c r="Q261" s="758"/>
      <c r="R261" s="758"/>
      <c r="S261" s="758"/>
      <c r="T261" s="758"/>
      <c r="U261" s="758"/>
      <c r="V261" s="758"/>
      <c r="W261" s="758"/>
      <c r="X261" s="758"/>
      <c r="Y261" s="758"/>
      <c r="Z261" s="758"/>
      <c r="AA261" s="758"/>
      <c r="AB261" s="758"/>
      <c r="AC261" s="758"/>
      <c r="AD261" s="758"/>
      <c r="AE261" s="758"/>
      <c r="AF261" s="758"/>
      <c r="AG261" s="758"/>
      <c r="CI261" s="753"/>
      <c r="CJ261" s="753"/>
      <c r="CK261" s="753"/>
      <c r="CL261" s="753"/>
      <c r="CM261" s="753"/>
      <c r="CN261" s="753"/>
      <c r="CO261" s="753"/>
      <c r="CP261" s="753"/>
      <c r="CQ261" s="753"/>
      <c r="CR261" s="753"/>
      <c r="CS261" s="753"/>
      <c r="CT261" s="753"/>
      <c r="CU261" s="753"/>
      <c r="CV261" s="753"/>
      <c r="CW261" s="753"/>
      <c r="CX261" s="753"/>
      <c r="CY261" s="753"/>
      <c r="CZ261" s="753"/>
      <c r="DA261" s="753"/>
      <c r="DB261" s="753"/>
      <c r="DC261" s="753"/>
      <c r="DD261" s="753"/>
      <c r="DE261" s="753"/>
      <c r="DF261" s="753"/>
      <c r="DG261" s="753"/>
      <c r="DH261" s="776"/>
      <c r="DI261" s="758"/>
    </row>
    <row r="262" spans="1:113">
      <c r="A262" s="89"/>
      <c r="B262" s="89"/>
      <c r="C262" s="89"/>
      <c r="D262" s="89"/>
      <c r="E262" s="38"/>
      <c r="F262" s="235"/>
      <c r="G262" s="89"/>
      <c r="H262" s="89"/>
      <c r="I262" s="89"/>
      <c r="K262" s="758"/>
      <c r="L262" s="758"/>
      <c r="M262" s="758"/>
      <c r="N262" s="758"/>
      <c r="O262" s="778"/>
      <c r="P262" s="758"/>
      <c r="Q262" s="758"/>
      <c r="R262" s="758"/>
      <c r="S262" s="758"/>
      <c r="T262" s="758"/>
      <c r="U262" s="758"/>
      <c r="V262" s="758"/>
      <c r="W262" s="758"/>
      <c r="X262" s="758"/>
      <c r="Y262" s="758"/>
      <c r="Z262" s="758"/>
      <c r="AA262" s="758"/>
      <c r="AB262" s="758"/>
      <c r="AC262" s="758"/>
      <c r="AD262" s="758"/>
      <c r="AE262" s="758"/>
      <c r="AF262" s="758"/>
      <c r="AG262" s="758"/>
      <c r="CI262" s="753"/>
      <c r="CJ262" s="753"/>
      <c r="CK262" s="753"/>
      <c r="CL262" s="753"/>
      <c r="CM262" s="753"/>
      <c r="CN262" s="753"/>
      <c r="CO262" s="753"/>
      <c r="CP262" s="753"/>
      <c r="CQ262" s="753"/>
      <c r="CR262" s="753"/>
      <c r="CS262" s="753"/>
      <c r="CT262" s="753"/>
      <c r="CU262" s="753"/>
      <c r="CV262" s="753"/>
      <c r="CW262" s="753"/>
      <c r="CX262" s="753"/>
      <c r="CY262" s="753"/>
      <c r="CZ262" s="753"/>
      <c r="DA262" s="753"/>
      <c r="DB262" s="753"/>
      <c r="DC262" s="753"/>
      <c r="DD262" s="753"/>
      <c r="DE262" s="753"/>
      <c r="DF262" s="753"/>
      <c r="DG262" s="753"/>
      <c r="DH262" s="776"/>
      <c r="DI262" s="758"/>
    </row>
    <row r="263" spans="1:113">
      <c r="A263" s="89"/>
      <c r="B263" s="89"/>
      <c r="C263" s="89"/>
      <c r="D263" s="89"/>
      <c r="E263" s="38"/>
      <c r="F263" s="38"/>
      <c r="G263" s="89"/>
      <c r="H263" s="89"/>
      <c r="I263" s="89"/>
      <c r="K263" s="758"/>
      <c r="L263" s="758"/>
      <c r="M263" s="758"/>
      <c r="N263" s="758"/>
      <c r="O263" s="778"/>
      <c r="P263" s="758"/>
      <c r="Q263" s="758"/>
      <c r="R263" s="758"/>
      <c r="S263" s="758"/>
      <c r="T263" s="758"/>
      <c r="U263" s="758"/>
      <c r="V263" s="758"/>
      <c r="W263" s="758"/>
      <c r="X263" s="758"/>
      <c r="Y263" s="758"/>
      <c r="Z263" s="758"/>
      <c r="AA263" s="758"/>
      <c r="AB263" s="758"/>
      <c r="AC263" s="758"/>
      <c r="AD263" s="758"/>
      <c r="AE263" s="758"/>
      <c r="AF263" s="758"/>
      <c r="AG263" s="758"/>
      <c r="CI263" s="753"/>
      <c r="CJ263" s="753"/>
      <c r="CK263" s="753"/>
      <c r="CL263" s="753"/>
      <c r="CM263" s="753"/>
      <c r="CN263" s="753"/>
      <c r="CO263" s="753"/>
      <c r="CP263" s="753"/>
      <c r="CQ263" s="753"/>
      <c r="CR263" s="753"/>
      <c r="CS263" s="753"/>
      <c r="CT263" s="753"/>
      <c r="CU263" s="753"/>
      <c r="CV263" s="753"/>
      <c r="CW263" s="753"/>
      <c r="CX263" s="753"/>
      <c r="CY263" s="753"/>
      <c r="CZ263" s="753"/>
      <c r="DA263" s="753"/>
      <c r="DB263" s="753"/>
      <c r="DC263" s="753"/>
      <c r="DD263" s="753"/>
      <c r="DE263" s="753"/>
      <c r="DF263" s="753"/>
      <c r="DG263" s="753"/>
      <c r="DH263" s="776"/>
      <c r="DI263" s="758"/>
    </row>
    <row r="264" spans="1:113">
      <c r="A264" s="89"/>
      <c r="B264" s="89"/>
      <c r="C264" s="89"/>
      <c r="D264" s="89"/>
      <c r="E264" s="89"/>
      <c r="F264" s="89"/>
      <c r="G264" s="89"/>
      <c r="H264" s="89"/>
      <c r="I264" s="236"/>
      <c r="K264" s="758"/>
      <c r="L264" s="758"/>
      <c r="M264" s="758"/>
      <c r="N264" s="758"/>
      <c r="O264" s="778"/>
      <c r="P264" s="758"/>
      <c r="Q264" s="758"/>
      <c r="R264" s="758"/>
      <c r="S264" s="758"/>
      <c r="T264" s="758"/>
      <c r="U264" s="758"/>
      <c r="V264" s="758"/>
      <c r="W264" s="758"/>
      <c r="X264" s="758"/>
      <c r="Y264" s="758"/>
      <c r="Z264" s="758"/>
      <c r="AA264" s="758"/>
      <c r="AB264" s="758"/>
      <c r="AC264" s="758"/>
      <c r="AD264" s="758"/>
      <c r="AE264" s="758"/>
      <c r="AF264" s="758"/>
      <c r="AG264" s="758"/>
      <c r="CI264" s="753"/>
      <c r="CJ264" s="753"/>
      <c r="CK264" s="753"/>
      <c r="CL264" s="753"/>
      <c r="CM264" s="753"/>
      <c r="CN264" s="753"/>
      <c r="CO264" s="753"/>
      <c r="CP264" s="753"/>
      <c r="CQ264" s="753"/>
      <c r="CR264" s="753"/>
      <c r="CS264" s="753"/>
      <c r="CT264" s="753"/>
      <c r="CU264" s="753"/>
      <c r="CV264" s="753"/>
      <c r="CW264" s="753"/>
      <c r="CX264" s="753"/>
      <c r="CY264" s="753"/>
      <c r="CZ264" s="753"/>
      <c r="DA264" s="753"/>
      <c r="DB264" s="753"/>
      <c r="DC264" s="753"/>
      <c r="DD264" s="753"/>
      <c r="DE264" s="753"/>
      <c r="DF264" s="753"/>
      <c r="DG264" s="753"/>
      <c r="DH264" s="776"/>
      <c r="DI264" s="758"/>
    </row>
    <row r="265" spans="1:113">
      <c r="A265" s="89"/>
      <c r="B265" s="89"/>
      <c r="C265" s="89"/>
      <c r="D265" s="89"/>
      <c r="E265" s="89"/>
      <c r="F265" s="89"/>
      <c r="G265" s="89"/>
      <c r="H265" s="56"/>
      <c r="I265" s="726"/>
      <c r="K265" s="758"/>
      <c r="L265" s="758"/>
      <c r="M265" s="758"/>
      <c r="N265" s="758"/>
      <c r="O265" s="778"/>
      <c r="P265" s="758"/>
      <c r="Q265" s="758"/>
      <c r="R265" s="758"/>
      <c r="S265" s="758"/>
      <c r="T265" s="758"/>
      <c r="U265" s="758"/>
      <c r="V265" s="758"/>
      <c r="W265" s="758"/>
      <c r="X265" s="758"/>
      <c r="Y265" s="758"/>
      <c r="Z265" s="758"/>
      <c r="AA265" s="758"/>
      <c r="AB265" s="758"/>
      <c r="AC265" s="758"/>
      <c r="AD265" s="758"/>
      <c r="AE265" s="758"/>
      <c r="AF265" s="758"/>
      <c r="AG265" s="758"/>
      <c r="CI265" s="753"/>
      <c r="CJ265" s="753"/>
      <c r="CK265" s="753"/>
      <c r="CL265" s="753"/>
      <c r="CM265" s="753"/>
      <c r="CN265" s="753"/>
      <c r="CO265" s="753"/>
      <c r="CP265" s="753"/>
      <c r="CQ265" s="753"/>
      <c r="CR265" s="753"/>
      <c r="CS265" s="753"/>
      <c r="CT265" s="753"/>
      <c r="CU265" s="753"/>
      <c r="CV265" s="753"/>
      <c r="CW265" s="753"/>
      <c r="CX265" s="753"/>
      <c r="CY265" s="753"/>
      <c r="CZ265" s="753"/>
      <c r="DA265" s="753"/>
      <c r="DB265" s="753"/>
      <c r="DC265" s="753"/>
      <c r="DD265" s="753"/>
      <c r="DE265" s="753"/>
      <c r="DF265" s="753"/>
      <c r="DG265" s="753"/>
      <c r="DH265" s="776"/>
      <c r="DI265" s="758"/>
    </row>
    <row r="266" spans="1:113">
      <c r="A266" s="237"/>
      <c r="B266" s="33"/>
      <c r="C266" s="89"/>
      <c r="D266" s="89"/>
      <c r="E266" s="38"/>
      <c r="F266" s="38"/>
      <c r="G266" s="38"/>
      <c r="H266" s="56"/>
      <c r="I266" s="727"/>
      <c r="K266" s="758"/>
      <c r="L266" s="758"/>
      <c r="M266" s="758"/>
      <c r="N266" s="758"/>
      <c r="O266" s="778"/>
      <c r="P266" s="758"/>
      <c r="Q266" s="758"/>
      <c r="R266" s="758"/>
      <c r="S266" s="758"/>
      <c r="T266" s="758"/>
      <c r="U266" s="758"/>
      <c r="V266" s="758"/>
      <c r="W266" s="758"/>
      <c r="X266" s="758"/>
      <c r="Y266" s="758"/>
      <c r="Z266" s="758"/>
      <c r="AA266" s="758"/>
      <c r="AB266" s="758"/>
      <c r="AC266" s="758"/>
      <c r="AD266" s="758"/>
      <c r="AE266" s="758"/>
      <c r="AF266" s="758"/>
      <c r="AG266" s="758"/>
      <c r="CI266" s="753"/>
      <c r="CJ266" s="753"/>
      <c r="CK266" s="753"/>
      <c r="CL266" s="753"/>
      <c r="CM266" s="753"/>
      <c r="CN266" s="753"/>
      <c r="CO266" s="753"/>
      <c r="CP266" s="753"/>
      <c r="CQ266" s="753"/>
      <c r="CR266" s="753"/>
      <c r="CS266" s="753"/>
      <c r="CT266" s="753"/>
      <c r="CU266" s="753"/>
      <c r="CV266" s="753"/>
      <c r="CW266" s="753"/>
      <c r="CX266" s="753"/>
      <c r="CY266" s="753"/>
      <c r="CZ266" s="753"/>
      <c r="DA266" s="753"/>
      <c r="DB266" s="753"/>
      <c r="DC266" s="753"/>
      <c r="DD266" s="753"/>
      <c r="DE266" s="753"/>
      <c r="DF266" s="753"/>
      <c r="DG266" s="753"/>
      <c r="DH266" s="776"/>
      <c r="DI266" s="758"/>
    </row>
    <row r="267" spans="1:113">
      <c r="A267" s="38"/>
      <c r="B267" s="44"/>
      <c r="C267" s="38"/>
      <c r="D267" s="110"/>
      <c r="E267" s="89"/>
      <c r="F267" s="33"/>
      <c r="G267" s="89"/>
      <c r="H267" s="200"/>
      <c r="I267" s="25"/>
      <c r="K267" s="758"/>
      <c r="L267" s="758"/>
      <c r="M267" s="758"/>
      <c r="N267" s="758"/>
      <c r="O267" s="778"/>
      <c r="P267" s="758"/>
      <c r="Q267" s="758"/>
      <c r="R267" s="758"/>
      <c r="S267" s="758"/>
      <c r="T267" s="758"/>
      <c r="U267" s="758"/>
      <c r="V267" s="758"/>
      <c r="W267" s="758"/>
      <c r="X267" s="758"/>
      <c r="Y267" s="758"/>
      <c r="Z267" s="758"/>
      <c r="AA267" s="758"/>
      <c r="AB267" s="758"/>
      <c r="AC267" s="758"/>
      <c r="AD267" s="758"/>
      <c r="AE267" s="758"/>
      <c r="AF267" s="758"/>
      <c r="AG267" s="758"/>
      <c r="CI267" s="753"/>
      <c r="CJ267" s="753"/>
      <c r="CK267" s="753"/>
      <c r="CL267" s="753"/>
      <c r="CM267" s="753"/>
      <c r="CN267" s="753"/>
      <c r="CO267" s="753"/>
      <c r="CP267" s="753"/>
      <c r="CQ267" s="753"/>
      <c r="CR267" s="753"/>
      <c r="CS267" s="753"/>
      <c r="CT267" s="753"/>
      <c r="CU267" s="753"/>
      <c r="CV267" s="753"/>
      <c r="CW267" s="753"/>
      <c r="CX267" s="753"/>
      <c r="CY267" s="753"/>
      <c r="CZ267" s="753"/>
      <c r="DA267" s="753"/>
      <c r="DB267" s="753"/>
      <c r="DC267" s="753"/>
      <c r="DD267" s="753"/>
      <c r="DE267" s="753"/>
      <c r="DF267" s="753"/>
      <c r="DG267" s="753"/>
      <c r="DH267" s="776"/>
      <c r="DI267" s="758"/>
    </row>
    <row r="268" spans="1:113">
      <c r="A268" s="234"/>
      <c r="B268" s="53"/>
      <c r="C268" s="110"/>
      <c r="D268" s="110"/>
      <c r="E268" s="89"/>
      <c r="F268" s="33"/>
      <c r="G268" s="38"/>
      <c r="H268" s="56"/>
      <c r="I268" s="25"/>
      <c r="K268" s="758"/>
      <c r="L268" s="758"/>
      <c r="M268" s="758"/>
      <c r="N268" s="758"/>
      <c r="O268" s="778"/>
      <c r="P268" s="758"/>
      <c r="Q268" s="758"/>
      <c r="R268" s="758"/>
      <c r="S268" s="758"/>
      <c r="T268" s="758"/>
      <c r="U268" s="758"/>
      <c r="V268" s="758"/>
      <c r="W268" s="758"/>
      <c r="X268" s="758"/>
      <c r="Y268" s="758"/>
      <c r="Z268" s="758"/>
      <c r="AA268" s="758"/>
      <c r="AB268" s="758"/>
      <c r="AC268" s="758"/>
      <c r="AD268" s="758"/>
      <c r="AE268" s="758"/>
      <c r="AF268" s="758"/>
      <c r="AG268" s="758"/>
      <c r="CI268" s="753"/>
      <c r="CJ268" s="753"/>
      <c r="CK268" s="753"/>
      <c r="CL268" s="753"/>
      <c r="CM268" s="753"/>
      <c r="CN268" s="753"/>
      <c r="CO268" s="753"/>
      <c r="CP268" s="753"/>
      <c r="CQ268" s="753"/>
      <c r="CR268" s="753"/>
      <c r="CS268" s="753"/>
      <c r="CT268" s="753"/>
      <c r="CU268" s="753"/>
      <c r="CV268" s="753"/>
      <c r="CW268" s="753"/>
      <c r="CX268" s="753"/>
      <c r="CY268" s="753"/>
      <c r="CZ268" s="753"/>
      <c r="DA268" s="753"/>
      <c r="DB268" s="753"/>
      <c r="DC268" s="753"/>
      <c r="DD268" s="753"/>
      <c r="DE268" s="753"/>
      <c r="DF268" s="753"/>
      <c r="DG268" s="753"/>
      <c r="DH268" s="776"/>
      <c r="DI268" s="758"/>
    </row>
    <row r="269" spans="1:113">
      <c r="A269" s="234"/>
      <c r="B269" s="53"/>
      <c r="C269" s="110"/>
      <c r="D269" s="110"/>
      <c r="E269" s="89"/>
      <c r="F269" s="33"/>
      <c r="G269" s="89"/>
      <c r="H269" s="89"/>
      <c r="I269" s="89"/>
      <c r="K269" s="758"/>
      <c r="L269" s="758"/>
      <c r="M269" s="758"/>
      <c r="N269" s="758"/>
      <c r="O269" s="778"/>
      <c r="P269" s="758"/>
      <c r="Q269" s="758"/>
      <c r="R269" s="758"/>
      <c r="S269" s="758"/>
      <c r="T269" s="758"/>
      <c r="U269" s="758"/>
      <c r="V269" s="758"/>
      <c r="W269" s="758"/>
      <c r="X269" s="758"/>
      <c r="Y269" s="758"/>
      <c r="Z269" s="758"/>
      <c r="AA269" s="758"/>
      <c r="AB269" s="758"/>
      <c r="AC269" s="758"/>
      <c r="AD269" s="758"/>
      <c r="AE269" s="758"/>
      <c r="AF269" s="758"/>
      <c r="AG269" s="758"/>
      <c r="CI269" s="753"/>
      <c r="CJ269" s="753"/>
      <c r="CK269" s="753"/>
      <c r="CL269" s="753"/>
      <c r="CM269" s="753"/>
      <c r="CN269" s="753"/>
      <c r="CO269" s="753"/>
      <c r="CP269" s="753"/>
      <c r="CQ269" s="753"/>
      <c r="CR269" s="753"/>
      <c r="CS269" s="753"/>
      <c r="CT269" s="753"/>
      <c r="CU269" s="753"/>
      <c r="CV269" s="753"/>
      <c r="CW269" s="753"/>
      <c r="CX269" s="753"/>
      <c r="CY269" s="753"/>
      <c r="CZ269" s="753"/>
      <c r="DA269" s="753"/>
      <c r="DB269" s="753"/>
      <c r="DC269" s="753"/>
      <c r="DD269" s="753"/>
      <c r="DE269" s="753"/>
      <c r="DF269" s="753"/>
      <c r="DG269" s="753"/>
      <c r="DH269" s="776"/>
      <c r="DI269" s="758"/>
    </row>
    <row r="270" spans="1:113">
      <c r="A270" s="234"/>
      <c r="B270" s="89"/>
      <c r="C270" s="110"/>
      <c r="D270" s="110"/>
      <c r="E270" s="89"/>
      <c r="F270" s="89"/>
      <c r="G270" s="89"/>
      <c r="H270" s="239"/>
      <c r="I270" s="38"/>
      <c r="K270" s="758"/>
      <c r="L270" s="758"/>
      <c r="M270" s="758"/>
      <c r="N270" s="758"/>
      <c r="O270" s="778"/>
      <c r="P270" s="758"/>
      <c r="Q270" s="758"/>
      <c r="R270" s="758"/>
      <c r="S270" s="758"/>
      <c r="T270" s="758"/>
      <c r="U270" s="758"/>
      <c r="V270" s="758"/>
      <c r="W270" s="758"/>
      <c r="X270" s="758"/>
      <c r="Y270" s="758"/>
      <c r="Z270" s="758"/>
      <c r="AA270" s="758"/>
      <c r="AB270" s="758"/>
      <c r="AC270" s="758"/>
      <c r="AD270" s="758"/>
      <c r="AE270" s="758"/>
      <c r="AF270" s="758"/>
      <c r="AG270" s="758"/>
      <c r="CI270" s="753"/>
      <c r="CJ270" s="753"/>
      <c r="CK270" s="753"/>
      <c r="CL270" s="753"/>
      <c r="CM270" s="753"/>
      <c r="CN270" s="753"/>
      <c r="CO270" s="753"/>
      <c r="CP270" s="753"/>
      <c r="CQ270" s="753"/>
      <c r="CR270" s="753"/>
      <c r="CS270" s="753"/>
      <c r="CT270" s="753"/>
      <c r="CU270" s="753"/>
      <c r="CV270" s="753"/>
      <c r="CW270" s="753"/>
      <c r="CX270" s="753"/>
      <c r="CY270" s="753"/>
      <c r="CZ270" s="753"/>
      <c r="DA270" s="753"/>
      <c r="DB270" s="753"/>
      <c r="DC270" s="753"/>
      <c r="DD270" s="753"/>
      <c r="DE270" s="753"/>
      <c r="DF270" s="753"/>
      <c r="DG270" s="753"/>
      <c r="DH270" s="776"/>
      <c r="DI270" s="758"/>
    </row>
    <row r="271" spans="1:113">
      <c r="A271" s="89"/>
      <c r="B271" s="38"/>
      <c r="C271" s="89"/>
      <c r="D271" s="89"/>
      <c r="E271" s="89"/>
      <c r="F271" s="89"/>
      <c r="G271" s="89"/>
      <c r="H271" s="89"/>
      <c r="I271" s="89"/>
      <c r="K271" s="758"/>
      <c r="L271" s="758"/>
      <c r="M271" s="758"/>
      <c r="N271" s="758"/>
      <c r="O271" s="778"/>
      <c r="P271" s="758"/>
      <c r="Q271" s="758"/>
      <c r="R271" s="758"/>
      <c r="S271" s="758"/>
      <c r="T271" s="758"/>
      <c r="U271" s="758"/>
      <c r="V271" s="758"/>
      <c r="W271" s="758"/>
      <c r="X271" s="758"/>
      <c r="Y271" s="758"/>
      <c r="Z271" s="758"/>
      <c r="AA271" s="758"/>
      <c r="AB271" s="758"/>
      <c r="AC271" s="758"/>
      <c r="AD271" s="758"/>
      <c r="AE271" s="758"/>
      <c r="AF271" s="758"/>
      <c r="AG271" s="758"/>
      <c r="CI271" s="753"/>
      <c r="CJ271" s="753"/>
      <c r="CK271" s="753"/>
      <c r="CL271" s="753"/>
      <c r="CM271" s="753"/>
      <c r="CN271" s="753"/>
      <c r="CO271" s="753"/>
      <c r="CP271" s="753"/>
      <c r="CQ271" s="753"/>
      <c r="CR271" s="753"/>
      <c r="CS271" s="753"/>
      <c r="CT271" s="753"/>
      <c r="CU271" s="753"/>
      <c r="CV271" s="753"/>
      <c r="CW271" s="753"/>
      <c r="CX271" s="753"/>
      <c r="CY271" s="753"/>
      <c r="CZ271" s="753"/>
      <c r="DA271" s="753"/>
      <c r="DB271" s="753"/>
      <c r="DC271" s="753"/>
      <c r="DD271" s="753"/>
      <c r="DE271" s="753"/>
      <c r="DF271" s="753"/>
      <c r="DG271" s="753"/>
      <c r="DH271" s="776"/>
      <c r="DI271" s="758"/>
    </row>
    <row r="272" spans="1:113">
      <c r="A272" s="38"/>
      <c r="B272" s="44"/>
      <c r="C272" s="38"/>
      <c r="D272" s="110"/>
      <c r="E272" s="89"/>
      <c r="F272" s="89"/>
      <c r="G272" s="89"/>
      <c r="H272" s="89"/>
      <c r="I272" s="89"/>
      <c r="K272" s="758"/>
      <c r="L272" s="758"/>
      <c r="M272" s="758"/>
      <c r="N272" s="758"/>
      <c r="O272" s="778"/>
      <c r="P272" s="758"/>
      <c r="Q272" s="758"/>
      <c r="R272" s="758"/>
      <c r="S272" s="758"/>
      <c r="T272" s="758"/>
      <c r="U272" s="758"/>
      <c r="V272" s="758"/>
      <c r="W272" s="758"/>
      <c r="X272" s="758"/>
      <c r="Y272" s="758"/>
      <c r="Z272" s="758"/>
      <c r="AA272" s="758"/>
      <c r="AB272" s="758"/>
      <c r="AC272" s="758"/>
      <c r="AD272" s="758"/>
      <c r="AE272" s="758"/>
      <c r="AF272" s="758"/>
      <c r="AG272" s="758"/>
      <c r="CI272" s="753"/>
      <c r="CJ272" s="753"/>
      <c r="CK272" s="753"/>
      <c r="CL272" s="753"/>
      <c r="CM272" s="753"/>
      <c r="CN272" s="753"/>
      <c r="CO272" s="753"/>
      <c r="CP272" s="753"/>
      <c r="CQ272" s="753"/>
      <c r="CR272" s="753"/>
      <c r="CS272" s="753"/>
      <c r="CT272" s="753"/>
      <c r="CU272" s="753"/>
      <c r="CV272" s="753"/>
      <c r="CW272" s="753"/>
      <c r="CX272" s="753"/>
      <c r="CY272" s="753"/>
      <c r="CZ272" s="753"/>
      <c r="DA272" s="753"/>
      <c r="DB272" s="753"/>
      <c r="DC272" s="753"/>
      <c r="DD272" s="753"/>
      <c r="DE272" s="753"/>
      <c r="DF272" s="753"/>
      <c r="DG272" s="753"/>
      <c r="DH272" s="776"/>
      <c r="DI272" s="758"/>
    </row>
    <row r="273" spans="1:113">
      <c r="A273" s="68"/>
      <c r="B273" s="53"/>
      <c r="C273" s="110"/>
      <c r="D273" s="110"/>
      <c r="E273" s="89"/>
      <c r="F273" s="89"/>
      <c r="G273" s="89"/>
      <c r="H273" s="89"/>
      <c r="I273" s="89"/>
      <c r="K273" s="758"/>
      <c r="L273" s="758"/>
      <c r="M273" s="758"/>
      <c r="N273" s="758"/>
      <c r="O273" s="778"/>
      <c r="P273" s="758"/>
      <c r="Q273" s="758"/>
      <c r="R273" s="758"/>
      <c r="S273" s="758"/>
      <c r="T273" s="758"/>
      <c r="U273" s="758"/>
      <c r="V273" s="758"/>
      <c r="W273" s="758"/>
      <c r="X273" s="758"/>
      <c r="Y273" s="758"/>
      <c r="Z273" s="758"/>
      <c r="AA273" s="758"/>
      <c r="AB273" s="758"/>
      <c r="AC273" s="758"/>
      <c r="AD273" s="758"/>
      <c r="AE273" s="758"/>
      <c r="AF273" s="758"/>
      <c r="AG273" s="758"/>
      <c r="CI273" s="753"/>
      <c r="CJ273" s="753"/>
      <c r="CK273" s="753"/>
      <c r="CL273" s="753"/>
      <c r="CM273" s="753"/>
      <c r="CN273" s="753"/>
      <c r="CO273" s="753"/>
      <c r="CP273" s="753"/>
      <c r="CQ273" s="753"/>
      <c r="CR273" s="753"/>
      <c r="CS273" s="753"/>
      <c r="CT273" s="753"/>
      <c r="CU273" s="753"/>
      <c r="CV273" s="753"/>
      <c r="CW273" s="753"/>
      <c r="CX273" s="753"/>
      <c r="CY273" s="753"/>
      <c r="CZ273" s="753"/>
      <c r="DA273" s="753"/>
      <c r="DB273" s="753"/>
      <c r="DC273" s="753"/>
      <c r="DD273" s="753"/>
      <c r="DE273" s="753"/>
      <c r="DF273" s="753"/>
      <c r="DG273" s="753"/>
      <c r="DH273" s="776"/>
      <c r="DI273" s="758"/>
    </row>
    <row r="274" spans="1:113">
      <c r="A274" s="234"/>
      <c r="B274" s="44"/>
      <c r="C274" s="110"/>
      <c r="D274" s="110"/>
      <c r="E274" s="89"/>
      <c r="F274" s="89"/>
      <c r="G274" s="89"/>
      <c r="H274" s="89"/>
      <c r="I274" s="89"/>
      <c r="K274" s="758"/>
      <c r="L274" s="758"/>
      <c r="M274" s="758"/>
      <c r="N274" s="758"/>
      <c r="O274" s="778"/>
      <c r="P274" s="758"/>
      <c r="Q274" s="758"/>
      <c r="R274" s="758"/>
      <c r="S274" s="758"/>
      <c r="T274" s="758"/>
      <c r="U274" s="758"/>
      <c r="V274" s="758"/>
      <c r="W274" s="758"/>
      <c r="X274" s="758"/>
      <c r="Y274" s="758"/>
      <c r="Z274" s="758"/>
      <c r="AA274" s="758"/>
      <c r="AB274" s="758"/>
      <c r="AC274" s="758"/>
      <c r="AD274" s="758"/>
      <c r="AE274" s="758"/>
      <c r="AF274" s="758"/>
      <c r="AG274" s="758"/>
      <c r="CI274" s="753"/>
      <c r="CJ274" s="753"/>
      <c r="CK274" s="753"/>
      <c r="CL274" s="753"/>
      <c r="CM274" s="753"/>
      <c r="CN274" s="753"/>
      <c r="CO274" s="753"/>
      <c r="CP274" s="753"/>
      <c r="CQ274" s="753"/>
      <c r="CR274" s="753"/>
      <c r="CS274" s="753"/>
      <c r="CT274" s="753"/>
      <c r="CU274" s="753"/>
      <c r="CV274" s="753"/>
      <c r="CW274" s="753"/>
      <c r="CX274" s="753"/>
      <c r="CY274" s="753"/>
      <c r="CZ274" s="753"/>
      <c r="DA274" s="753"/>
      <c r="DB274" s="753"/>
      <c r="DC274" s="753"/>
      <c r="DD274" s="753"/>
      <c r="DE274" s="753"/>
      <c r="DF274" s="753"/>
      <c r="DG274" s="753"/>
      <c r="DH274" s="776"/>
      <c r="DI274" s="758"/>
    </row>
    <row r="275" spans="1:113">
      <c r="A275" s="234"/>
      <c r="B275" s="44"/>
      <c r="C275" s="110"/>
      <c r="D275" s="110"/>
      <c r="E275" s="89"/>
      <c r="F275" s="89"/>
      <c r="G275" s="89"/>
      <c r="H275" s="89"/>
      <c r="I275" s="38"/>
      <c r="K275" s="758"/>
      <c r="L275" s="758"/>
      <c r="M275" s="758"/>
      <c r="N275" s="758"/>
      <c r="O275" s="778"/>
      <c r="P275" s="758"/>
      <c r="Q275" s="758"/>
      <c r="R275" s="758"/>
      <c r="S275" s="758"/>
      <c r="T275" s="758"/>
      <c r="U275" s="758"/>
      <c r="V275" s="758"/>
      <c r="W275" s="758"/>
      <c r="X275" s="758"/>
      <c r="Y275" s="758"/>
      <c r="Z275" s="758"/>
      <c r="AA275" s="758"/>
      <c r="AB275" s="758"/>
      <c r="AC275" s="758"/>
      <c r="AD275" s="758"/>
      <c r="AE275" s="758"/>
      <c r="AF275" s="758"/>
      <c r="AG275" s="758"/>
      <c r="CI275" s="753"/>
      <c r="CJ275" s="753"/>
      <c r="CK275" s="753"/>
      <c r="CL275" s="753"/>
      <c r="CM275" s="753"/>
      <c r="CN275" s="753"/>
      <c r="CO275" s="753"/>
      <c r="CP275" s="753"/>
      <c r="CQ275" s="753"/>
      <c r="CR275" s="753"/>
      <c r="CS275" s="753"/>
      <c r="CT275" s="753"/>
      <c r="CU275" s="753"/>
      <c r="CV275" s="753"/>
      <c r="CW275" s="753"/>
      <c r="CX275" s="753"/>
      <c r="CY275" s="753"/>
      <c r="CZ275" s="753"/>
      <c r="DA275" s="753"/>
      <c r="DB275" s="753"/>
      <c r="DC275" s="753"/>
      <c r="DD275" s="753"/>
      <c r="DE275" s="753"/>
      <c r="DF275" s="753"/>
      <c r="DG275" s="753"/>
      <c r="DH275" s="776"/>
      <c r="DI275" s="758"/>
    </row>
    <row r="276" spans="1:113">
      <c r="A276" s="241"/>
      <c r="B276" s="44"/>
      <c r="C276" s="110"/>
      <c r="D276" s="232"/>
      <c r="E276" s="38"/>
      <c r="F276" s="89"/>
      <c r="G276" s="89"/>
      <c r="H276" s="235"/>
      <c r="I276" s="38"/>
      <c r="K276" s="758"/>
      <c r="L276" s="758"/>
      <c r="M276" s="758"/>
      <c r="N276" s="758"/>
      <c r="O276" s="778"/>
      <c r="P276" s="758"/>
      <c r="Q276" s="758"/>
      <c r="R276" s="758"/>
      <c r="S276" s="758"/>
      <c r="T276" s="758"/>
      <c r="U276" s="758"/>
      <c r="V276" s="758"/>
      <c r="W276" s="758"/>
      <c r="X276" s="758"/>
      <c r="Y276" s="758"/>
      <c r="Z276" s="758"/>
      <c r="AA276" s="758"/>
      <c r="AB276" s="758"/>
      <c r="AC276" s="758"/>
      <c r="AD276" s="758"/>
      <c r="AE276" s="758"/>
      <c r="AF276" s="758"/>
      <c r="AG276" s="758"/>
      <c r="CI276" s="753"/>
      <c r="CJ276" s="753"/>
      <c r="CK276" s="753"/>
      <c r="CL276" s="753"/>
      <c r="CM276" s="753"/>
      <c r="CN276" s="753"/>
      <c r="CO276" s="753"/>
      <c r="CP276" s="753"/>
      <c r="CQ276" s="753"/>
      <c r="CR276" s="753"/>
      <c r="CS276" s="753"/>
      <c r="CT276" s="753"/>
      <c r="CU276" s="753"/>
      <c r="CV276" s="753"/>
      <c r="CW276" s="753"/>
      <c r="CX276" s="753"/>
      <c r="CY276" s="753"/>
      <c r="CZ276" s="753"/>
      <c r="DA276" s="753"/>
      <c r="DB276" s="753"/>
      <c r="DC276" s="753"/>
      <c r="DD276" s="753"/>
      <c r="DE276" s="753"/>
      <c r="DF276" s="753"/>
      <c r="DG276" s="753"/>
      <c r="DH276" s="776"/>
      <c r="DI276" s="758"/>
    </row>
    <row r="277" spans="1:113">
      <c r="A277" s="241"/>
      <c r="B277" s="89"/>
      <c r="C277" s="110"/>
      <c r="D277" s="232"/>
      <c r="E277" s="89"/>
      <c r="F277" s="89"/>
      <c r="G277" s="89"/>
      <c r="H277" s="89"/>
      <c r="I277" s="89"/>
      <c r="K277" s="758"/>
      <c r="L277" s="758"/>
      <c r="M277" s="758"/>
      <c r="N277" s="758"/>
      <c r="O277" s="778"/>
      <c r="P277" s="758"/>
      <c r="Q277" s="758"/>
      <c r="R277" s="758"/>
      <c r="S277" s="758"/>
      <c r="T277" s="758"/>
      <c r="U277" s="758"/>
      <c r="V277" s="758"/>
      <c r="W277" s="758"/>
      <c r="X277" s="758"/>
      <c r="Y277" s="758"/>
      <c r="Z277" s="758"/>
      <c r="AA277" s="758"/>
      <c r="AB277" s="758"/>
      <c r="AC277" s="758"/>
      <c r="AD277" s="758"/>
      <c r="AE277" s="758"/>
      <c r="AF277" s="758"/>
      <c r="AG277" s="758"/>
      <c r="CI277" s="753"/>
      <c r="CJ277" s="753"/>
      <c r="CK277" s="753"/>
      <c r="CL277" s="753"/>
      <c r="CM277" s="753"/>
      <c r="CN277" s="753"/>
      <c r="CO277" s="753"/>
      <c r="CP277" s="753"/>
      <c r="CQ277" s="753"/>
      <c r="CR277" s="753"/>
      <c r="CS277" s="753"/>
      <c r="CT277" s="753"/>
      <c r="CU277" s="753"/>
      <c r="CV277" s="753"/>
      <c r="CW277" s="753"/>
      <c r="CX277" s="753"/>
      <c r="CY277" s="753"/>
      <c r="CZ277" s="753"/>
      <c r="DA277" s="753"/>
      <c r="DB277" s="753"/>
      <c r="DC277" s="753"/>
      <c r="DD277" s="753"/>
      <c r="DE277" s="753"/>
      <c r="DF277" s="753"/>
      <c r="DG277" s="753"/>
      <c r="DH277" s="776"/>
      <c r="DI277" s="758"/>
    </row>
    <row r="278" spans="1:113">
      <c r="A278" s="89"/>
      <c r="B278" s="89"/>
      <c r="C278" s="89"/>
      <c r="D278" s="89"/>
      <c r="E278" s="89"/>
      <c r="F278" s="89"/>
      <c r="G278" s="235"/>
      <c r="H278" s="89"/>
      <c r="I278" s="89"/>
      <c r="K278" s="758"/>
      <c r="L278" s="758"/>
      <c r="M278" s="758"/>
      <c r="N278" s="758"/>
      <c r="O278" s="778"/>
      <c r="P278" s="758"/>
      <c r="Q278" s="758"/>
      <c r="R278" s="758"/>
      <c r="S278" s="758"/>
      <c r="T278" s="758"/>
      <c r="U278" s="758"/>
      <c r="V278" s="758"/>
      <c r="W278" s="758"/>
      <c r="X278" s="758"/>
      <c r="Y278" s="758"/>
      <c r="Z278" s="758"/>
      <c r="AA278" s="758"/>
      <c r="AB278" s="758"/>
      <c r="AC278" s="758"/>
      <c r="AD278" s="758"/>
      <c r="AE278" s="758"/>
      <c r="AF278" s="758"/>
      <c r="AG278" s="758"/>
      <c r="CI278" s="753"/>
      <c r="CJ278" s="753"/>
      <c r="CK278" s="753"/>
      <c r="CL278" s="753"/>
      <c r="CM278" s="753"/>
      <c r="CN278" s="753"/>
      <c r="CO278" s="753"/>
      <c r="CP278" s="753"/>
      <c r="CQ278" s="753"/>
      <c r="CR278" s="753"/>
      <c r="CS278" s="753"/>
      <c r="CT278" s="753"/>
      <c r="CU278" s="753"/>
      <c r="CV278" s="753"/>
      <c r="CW278" s="753"/>
      <c r="CX278" s="753"/>
      <c r="CY278" s="753"/>
      <c r="CZ278" s="753"/>
      <c r="DA278" s="753"/>
      <c r="DB278" s="753"/>
      <c r="DC278" s="753"/>
      <c r="DD278" s="753"/>
      <c r="DE278" s="753"/>
      <c r="DF278" s="753"/>
      <c r="DG278" s="753"/>
      <c r="DH278" s="776"/>
      <c r="DI278" s="758"/>
    </row>
    <row r="279" spans="1:113">
      <c r="A279" s="38"/>
      <c r="B279" s="53"/>
      <c r="C279" s="89"/>
      <c r="D279" s="89"/>
      <c r="E279" s="89"/>
      <c r="F279" s="235"/>
      <c r="G279" s="89"/>
      <c r="H279" s="89"/>
      <c r="I279" s="89"/>
      <c r="K279" s="758"/>
      <c r="L279" s="758"/>
      <c r="M279" s="758"/>
      <c r="N279" s="758"/>
      <c r="O279" s="778"/>
      <c r="P279" s="758"/>
      <c r="Q279" s="758"/>
      <c r="R279" s="758"/>
      <c r="S279" s="758"/>
      <c r="T279" s="758"/>
      <c r="U279" s="758"/>
      <c r="V279" s="758"/>
      <c r="W279" s="758"/>
      <c r="X279" s="758"/>
      <c r="Y279" s="758"/>
      <c r="Z279" s="758"/>
      <c r="AA279" s="758"/>
      <c r="AB279" s="758"/>
      <c r="AC279" s="758"/>
      <c r="AD279" s="758"/>
      <c r="AE279" s="758"/>
      <c r="AF279" s="758"/>
      <c r="AG279" s="758"/>
      <c r="CI279" s="753"/>
      <c r="CJ279" s="753"/>
      <c r="CK279" s="753"/>
      <c r="CL279" s="753"/>
      <c r="CM279" s="753"/>
      <c r="CN279" s="753"/>
      <c r="CO279" s="753"/>
      <c r="CP279" s="753"/>
      <c r="CQ279" s="753"/>
      <c r="CR279" s="753"/>
      <c r="CS279" s="753"/>
      <c r="CT279" s="753"/>
      <c r="CU279" s="753"/>
      <c r="CV279" s="753"/>
      <c r="CW279" s="753"/>
      <c r="CX279" s="753"/>
      <c r="CY279" s="753"/>
      <c r="CZ279" s="753"/>
      <c r="DA279" s="753"/>
      <c r="DB279" s="753"/>
      <c r="DC279" s="753"/>
      <c r="DD279" s="753"/>
      <c r="DE279" s="753"/>
      <c r="DF279" s="753"/>
      <c r="DG279" s="753"/>
      <c r="DH279" s="776"/>
      <c r="DI279" s="758"/>
    </row>
    <row r="280" spans="1:113">
      <c r="A280" s="234"/>
      <c r="B280" s="53"/>
      <c r="C280" s="110"/>
      <c r="D280" s="110"/>
      <c r="E280" s="33"/>
      <c r="F280" s="89"/>
      <c r="G280" s="89"/>
      <c r="H280" s="89"/>
      <c r="I280" s="38"/>
      <c r="K280" s="758"/>
      <c r="L280" s="758"/>
      <c r="M280" s="758"/>
      <c r="N280" s="758"/>
      <c r="O280" s="778"/>
      <c r="P280" s="758"/>
      <c r="Q280" s="758"/>
      <c r="R280" s="758"/>
      <c r="S280" s="758"/>
      <c r="T280" s="758"/>
      <c r="U280" s="758"/>
      <c r="V280" s="758"/>
      <c r="W280" s="758"/>
      <c r="X280" s="758"/>
      <c r="Y280" s="758"/>
      <c r="Z280" s="758"/>
      <c r="AA280" s="758"/>
      <c r="AB280" s="758"/>
      <c r="AC280" s="758"/>
      <c r="AD280" s="758"/>
      <c r="AE280" s="758"/>
      <c r="AF280" s="758"/>
      <c r="AG280" s="758"/>
      <c r="CI280" s="753"/>
      <c r="CJ280" s="753"/>
      <c r="CK280" s="753"/>
      <c r="CL280" s="753"/>
      <c r="CM280" s="753"/>
      <c r="CN280" s="753"/>
      <c r="CO280" s="753"/>
      <c r="CP280" s="753"/>
      <c r="CQ280" s="753"/>
      <c r="CR280" s="753"/>
      <c r="CS280" s="753"/>
      <c r="CT280" s="753"/>
      <c r="CU280" s="753"/>
      <c r="CV280" s="753"/>
      <c r="CW280" s="753"/>
      <c r="CX280" s="753"/>
      <c r="CY280" s="753"/>
      <c r="CZ280" s="753"/>
      <c r="DA280" s="753"/>
      <c r="DB280" s="753"/>
      <c r="DC280" s="753"/>
      <c r="DD280" s="753"/>
      <c r="DE280" s="753"/>
      <c r="DF280" s="753"/>
      <c r="DG280" s="753"/>
      <c r="DH280" s="776"/>
      <c r="DI280" s="758"/>
    </row>
    <row r="281" spans="1:113">
      <c r="A281" s="234"/>
      <c r="B281" s="89"/>
      <c r="C281" s="110"/>
      <c r="D281" s="110"/>
      <c r="E281" s="33"/>
      <c r="F281" s="33"/>
      <c r="G281" s="89"/>
      <c r="H281" s="239"/>
      <c r="I281" s="89"/>
      <c r="K281" s="758"/>
      <c r="L281" s="758"/>
      <c r="M281" s="758"/>
      <c r="N281" s="758"/>
      <c r="O281" s="778"/>
      <c r="P281" s="758"/>
      <c r="Q281" s="758"/>
      <c r="R281" s="758"/>
      <c r="S281" s="758"/>
      <c r="T281" s="758"/>
      <c r="U281" s="758"/>
      <c r="V281" s="758"/>
      <c r="W281" s="758"/>
      <c r="X281" s="758"/>
      <c r="Y281" s="758"/>
      <c r="Z281" s="758"/>
      <c r="AA281" s="758"/>
      <c r="AB281" s="758"/>
      <c r="AC281" s="758"/>
      <c r="AD281" s="758"/>
      <c r="AE281" s="758"/>
      <c r="AF281" s="758"/>
      <c r="AG281" s="758"/>
      <c r="CI281" s="753"/>
      <c r="CJ281" s="753"/>
      <c r="CK281" s="753"/>
      <c r="CL281" s="753"/>
      <c r="CM281" s="753"/>
      <c r="CN281" s="753"/>
      <c r="CO281" s="753"/>
      <c r="CP281" s="753"/>
      <c r="CQ281" s="753"/>
      <c r="CR281" s="753"/>
      <c r="CS281" s="753"/>
      <c r="CT281" s="753"/>
      <c r="CU281" s="753"/>
      <c r="CV281" s="753"/>
      <c r="CW281" s="753"/>
      <c r="CX281" s="753"/>
      <c r="CY281" s="753"/>
      <c r="CZ281" s="753"/>
      <c r="DA281" s="753"/>
      <c r="DB281" s="753"/>
      <c r="DC281" s="753"/>
      <c r="DD281" s="753"/>
      <c r="DE281" s="753"/>
      <c r="DF281" s="753"/>
      <c r="DG281" s="753"/>
      <c r="DH281" s="776"/>
      <c r="DI281" s="758"/>
    </row>
    <row r="282" spans="1:113">
      <c r="A282" s="89"/>
      <c r="B282" s="38"/>
      <c r="C282" s="89"/>
      <c r="D282" s="89"/>
      <c r="E282" s="89"/>
      <c r="F282" s="89"/>
      <c r="G282" s="89"/>
      <c r="H282" s="89"/>
      <c r="I282" s="89"/>
      <c r="K282" s="758"/>
      <c r="L282" s="758"/>
      <c r="M282" s="758"/>
      <c r="N282" s="758"/>
      <c r="O282" s="778"/>
      <c r="P282" s="758"/>
      <c r="Q282" s="758"/>
      <c r="R282" s="758"/>
      <c r="S282" s="758"/>
      <c r="T282" s="758"/>
      <c r="U282" s="758"/>
      <c r="V282" s="758"/>
      <c r="W282" s="758"/>
      <c r="X282" s="758"/>
      <c r="Y282" s="758"/>
      <c r="Z282" s="758"/>
      <c r="AA282" s="758"/>
      <c r="AB282" s="758"/>
      <c r="AC282" s="758"/>
      <c r="AD282" s="758"/>
      <c r="AE282" s="758"/>
      <c r="AF282" s="758"/>
      <c r="AG282" s="758"/>
      <c r="CI282" s="753"/>
      <c r="CJ282" s="753"/>
      <c r="CK282" s="753"/>
      <c r="CL282" s="753"/>
      <c r="CM282" s="753"/>
      <c r="CN282" s="753"/>
      <c r="CO282" s="753"/>
      <c r="CP282" s="753"/>
      <c r="CQ282" s="753"/>
      <c r="CR282" s="753"/>
      <c r="CS282" s="753"/>
      <c r="CT282" s="753"/>
      <c r="CU282" s="753"/>
      <c r="CV282" s="753"/>
      <c r="CW282" s="753"/>
      <c r="CX282" s="753"/>
      <c r="CY282" s="753"/>
      <c r="CZ282" s="753"/>
      <c r="DA282" s="753"/>
      <c r="DB282" s="753"/>
      <c r="DC282" s="753"/>
      <c r="DD282" s="753"/>
      <c r="DE282" s="753"/>
      <c r="DF282" s="753"/>
      <c r="DG282" s="753"/>
      <c r="DH282" s="776"/>
      <c r="DI282" s="758"/>
    </row>
    <row r="283" spans="1:113">
      <c r="A283" s="38"/>
      <c r="B283" s="240"/>
      <c r="C283" s="38"/>
      <c r="D283" s="110"/>
      <c r="E283" s="33"/>
      <c r="F283" s="33"/>
      <c r="G283" s="89"/>
      <c r="H283" s="89"/>
      <c r="I283" s="89"/>
      <c r="K283" s="758"/>
      <c r="L283" s="758"/>
      <c r="M283" s="758"/>
      <c r="N283" s="758"/>
      <c r="O283" s="778"/>
      <c r="P283" s="758"/>
      <c r="Q283" s="758"/>
      <c r="R283" s="758"/>
      <c r="S283" s="758"/>
      <c r="T283" s="758"/>
      <c r="U283" s="758"/>
      <c r="V283" s="758"/>
      <c r="W283" s="758"/>
      <c r="X283" s="758"/>
      <c r="Y283" s="758"/>
      <c r="Z283" s="758"/>
      <c r="AA283" s="758"/>
      <c r="AB283" s="758"/>
      <c r="AC283" s="758"/>
      <c r="AD283" s="758"/>
      <c r="AE283" s="758"/>
      <c r="AF283" s="758"/>
      <c r="AG283" s="758"/>
      <c r="CI283" s="753"/>
      <c r="CJ283" s="753"/>
      <c r="CK283" s="753"/>
      <c r="CL283" s="753"/>
      <c r="CM283" s="753"/>
      <c r="CN283" s="753"/>
      <c r="CO283" s="753"/>
      <c r="CP283" s="753"/>
      <c r="CQ283" s="753"/>
      <c r="CR283" s="753"/>
      <c r="CS283" s="753"/>
      <c r="CT283" s="753"/>
      <c r="CU283" s="753"/>
      <c r="CV283" s="753"/>
      <c r="CW283" s="753"/>
      <c r="CX283" s="753"/>
      <c r="CY283" s="753"/>
      <c r="CZ283" s="753"/>
      <c r="DA283" s="753"/>
      <c r="DB283" s="753"/>
      <c r="DC283" s="753"/>
      <c r="DD283" s="753"/>
      <c r="DE283" s="753"/>
      <c r="DF283" s="753"/>
      <c r="DG283" s="753"/>
      <c r="DH283" s="776"/>
    </row>
    <row r="284" spans="1:113">
      <c r="A284" s="234"/>
      <c r="B284" s="53"/>
      <c r="C284" s="110"/>
      <c r="D284" s="110"/>
      <c r="E284" s="33"/>
      <c r="F284" s="33"/>
      <c r="G284" s="89"/>
      <c r="H284" s="89"/>
      <c r="I284" s="89"/>
      <c r="K284" s="758"/>
      <c r="L284" s="758"/>
      <c r="M284" s="758"/>
      <c r="N284" s="758"/>
      <c r="O284" s="778"/>
      <c r="P284" s="758"/>
      <c r="Q284" s="758"/>
      <c r="R284" s="758"/>
      <c r="S284" s="758"/>
      <c r="T284" s="758"/>
      <c r="U284" s="758"/>
      <c r="V284" s="758"/>
      <c r="W284" s="758"/>
      <c r="X284" s="758"/>
      <c r="Y284" s="758"/>
      <c r="Z284" s="758"/>
      <c r="AA284" s="758"/>
      <c r="AB284" s="758"/>
      <c r="AC284" s="758"/>
      <c r="AD284" s="758"/>
      <c r="AE284" s="758"/>
      <c r="AF284" s="758"/>
      <c r="AG284" s="758"/>
      <c r="CI284" s="753"/>
      <c r="CJ284" s="753"/>
      <c r="CK284" s="753"/>
      <c r="CL284" s="753"/>
      <c r="CM284" s="753"/>
      <c r="CN284" s="753"/>
      <c r="CO284" s="753"/>
      <c r="CP284" s="753"/>
      <c r="CQ284" s="753"/>
      <c r="CR284" s="753"/>
      <c r="CS284" s="753"/>
      <c r="CT284" s="753"/>
      <c r="CU284" s="753"/>
      <c r="CV284" s="753"/>
      <c r="CW284" s="753"/>
      <c r="CX284" s="753"/>
      <c r="CY284" s="753"/>
      <c r="CZ284" s="753"/>
      <c r="DA284" s="753"/>
      <c r="DB284" s="753"/>
      <c r="DC284" s="753"/>
      <c r="DD284" s="753"/>
      <c r="DE284" s="753"/>
      <c r="DF284" s="753"/>
      <c r="DG284" s="753"/>
      <c r="DH284" s="776"/>
    </row>
    <row r="285" spans="1:113">
      <c r="A285" s="234"/>
      <c r="B285" s="53"/>
      <c r="C285" s="110"/>
      <c r="D285" s="110"/>
      <c r="E285" s="33"/>
      <c r="F285" s="33"/>
      <c r="G285" s="89"/>
      <c r="H285" s="89"/>
      <c r="I285" s="89"/>
      <c r="K285" s="758"/>
      <c r="L285" s="758"/>
      <c r="M285" s="758"/>
      <c r="N285" s="758"/>
      <c r="O285" s="778"/>
      <c r="P285" s="758"/>
      <c r="Q285" s="758"/>
      <c r="R285" s="758"/>
      <c r="S285" s="758"/>
      <c r="T285" s="758"/>
      <c r="U285" s="758"/>
      <c r="V285" s="758"/>
      <c r="W285" s="758"/>
      <c r="X285" s="758"/>
      <c r="Y285" s="758"/>
      <c r="Z285" s="758"/>
      <c r="AA285" s="758"/>
      <c r="AB285" s="758"/>
      <c r="AC285" s="758"/>
      <c r="AD285" s="758"/>
      <c r="AE285" s="758"/>
      <c r="AF285" s="758"/>
      <c r="AG285" s="758"/>
      <c r="CI285" s="753"/>
      <c r="CJ285" s="753"/>
      <c r="CK285" s="753"/>
      <c r="CL285" s="753"/>
      <c r="CM285" s="753"/>
      <c r="CN285" s="753"/>
      <c r="CO285" s="753"/>
      <c r="CP285" s="753"/>
      <c r="CQ285" s="753"/>
      <c r="CR285" s="753"/>
      <c r="CS285" s="753"/>
      <c r="CT285" s="753"/>
      <c r="CU285" s="753"/>
      <c r="CV285" s="753"/>
      <c r="CW285" s="753"/>
      <c r="CX285" s="753"/>
      <c r="CY285" s="753"/>
      <c r="CZ285" s="753"/>
      <c r="DA285" s="753"/>
      <c r="DB285" s="753"/>
      <c r="DC285" s="753"/>
      <c r="DD285" s="753"/>
      <c r="DE285" s="753"/>
      <c r="DF285" s="753"/>
      <c r="DG285" s="753"/>
      <c r="DH285" s="776"/>
    </row>
    <row r="286" spans="1:113">
      <c r="A286" s="234"/>
      <c r="B286" s="53"/>
      <c r="C286" s="110"/>
      <c r="D286" s="110"/>
      <c r="E286" s="33"/>
      <c r="F286" s="33"/>
      <c r="G286" s="89"/>
      <c r="H286" s="89"/>
      <c r="I286" s="89"/>
      <c r="K286" s="758"/>
      <c r="L286" s="758"/>
      <c r="M286" s="758"/>
      <c r="N286" s="758"/>
      <c r="O286" s="778"/>
      <c r="P286" s="758"/>
      <c r="Q286" s="758"/>
      <c r="R286" s="758"/>
      <c r="S286" s="758"/>
      <c r="T286" s="758"/>
      <c r="U286" s="758"/>
      <c r="V286" s="758"/>
      <c r="W286" s="758"/>
      <c r="X286" s="758"/>
      <c r="Y286" s="758"/>
      <c r="Z286" s="758"/>
      <c r="AA286" s="758"/>
      <c r="AB286" s="758"/>
      <c r="AC286" s="758"/>
      <c r="AD286" s="758"/>
      <c r="AE286" s="758"/>
      <c r="AF286" s="758"/>
      <c r="AG286" s="758"/>
      <c r="CI286" s="753"/>
      <c r="CJ286" s="753"/>
      <c r="CK286" s="753"/>
      <c r="CL286" s="753"/>
      <c r="CM286" s="753"/>
      <c r="CN286" s="753"/>
      <c r="CO286" s="753"/>
      <c r="CP286" s="753"/>
      <c r="CQ286" s="753"/>
      <c r="CR286" s="753"/>
      <c r="CS286" s="753"/>
      <c r="CT286" s="753"/>
      <c r="CU286" s="753"/>
      <c r="CV286" s="753"/>
      <c r="CW286" s="753"/>
      <c r="CX286" s="753"/>
      <c r="CY286" s="753"/>
      <c r="CZ286" s="753"/>
      <c r="DA286" s="753"/>
      <c r="DB286" s="753"/>
      <c r="DC286" s="753"/>
      <c r="DD286" s="753"/>
      <c r="DE286" s="753"/>
      <c r="DF286" s="753"/>
      <c r="DG286" s="753"/>
      <c r="DH286" s="776"/>
    </row>
    <row r="287" spans="1:113">
      <c r="A287" s="234"/>
      <c r="B287" s="89"/>
      <c r="C287" s="110"/>
      <c r="D287" s="110"/>
      <c r="E287" s="33"/>
      <c r="F287" s="33"/>
      <c r="G287" s="89"/>
      <c r="H287" s="239"/>
      <c r="I287" s="89"/>
      <c r="K287" s="758"/>
      <c r="L287" s="758"/>
      <c r="M287" s="758"/>
      <c r="N287" s="758"/>
      <c r="O287" s="778"/>
      <c r="P287" s="758"/>
      <c r="Q287" s="758"/>
      <c r="R287" s="758"/>
      <c r="S287" s="758"/>
      <c r="T287" s="758"/>
      <c r="U287" s="758"/>
      <c r="V287" s="758"/>
      <c r="W287" s="758"/>
      <c r="X287" s="758"/>
      <c r="Y287" s="758"/>
      <c r="Z287" s="758"/>
      <c r="AA287" s="758"/>
      <c r="AB287" s="758"/>
      <c r="AC287" s="758"/>
      <c r="AD287" s="758"/>
      <c r="AE287" s="758"/>
      <c r="AF287" s="758"/>
      <c r="AG287" s="758"/>
      <c r="CI287" s="753"/>
      <c r="CJ287" s="753"/>
      <c r="CK287" s="753"/>
      <c r="CL287" s="753"/>
      <c r="CM287" s="753"/>
      <c r="CN287" s="753"/>
      <c r="CO287" s="753"/>
      <c r="CP287" s="753"/>
      <c r="CQ287" s="753"/>
      <c r="CR287" s="753"/>
      <c r="CS287" s="753"/>
      <c r="CT287" s="753"/>
      <c r="CU287" s="753"/>
      <c r="CV287" s="753"/>
      <c r="CW287" s="753"/>
      <c r="CX287" s="753"/>
      <c r="CY287" s="753"/>
      <c r="CZ287" s="753"/>
      <c r="DA287" s="753"/>
      <c r="DB287" s="753"/>
      <c r="DC287" s="753"/>
      <c r="DD287" s="753"/>
      <c r="DE287" s="753"/>
      <c r="DF287" s="753"/>
      <c r="DG287" s="753"/>
      <c r="DH287" s="776"/>
    </row>
    <row r="288" spans="1:113">
      <c r="A288" s="89"/>
      <c r="B288" s="89"/>
      <c r="C288" s="89"/>
      <c r="D288" s="89"/>
      <c r="E288" s="89"/>
      <c r="F288" s="89"/>
      <c r="G288" s="89"/>
      <c r="H288" s="89"/>
      <c r="I288" s="89"/>
      <c r="K288" s="758"/>
      <c r="L288" s="758"/>
      <c r="M288" s="758"/>
      <c r="N288" s="758"/>
      <c r="O288" s="778"/>
      <c r="P288" s="758"/>
      <c r="Q288" s="758"/>
      <c r="R288" s="758"/>
      <c r="S288" s="758"/>
      <c r="T288" s="758"/>
      <c r="U288" s="758"/>
      <c r="V288" s="758"/>
      <c r="W288" s="758"/>
      <c r="X288" s="758"/>
      <c r="Y288" s="758"/>
      <c r="Z288" s="758"/>
      <c r="AA288" s="758"/>
      <c r="AB288" s="758"/>
      <c r="AC288" s="758"/>
      <c r="AD288" s="758"/>
      <c r="AE288" s="758"/>
      <c r="AF288" s="758"/>
      <c r="AG288" s="758"/>
      <c r="CI288" s="753"/>
      <c r="CJ288" s="753"/>
      <c r="CK288" s="753"/>
      <c r="CL288" s="753"/>
      <c r="CM288" s="753"/>
      <c r="CN288" s="753"/>
      <c r="CO288" s="753"/>
      <c r="CP288" s="753"/>
      <c r="CQ288" s="753"/>
      <c r="CR288" s="753"/>
      <c r="CS288" s="753"/>
      <c r="CT288" s="753"/>
      <c r="CU288" s="753"/>
      <c r="CV288" s="753"/>
      <c r="CW288" s="753"/>
      <c r="CX288" s="753"/>
      <c r="CY288" s="753"/>
      <c r="CZ288" s="753"/>
      <c r="DA288" s="753"/>
      <c r="DB288" s="753"/>
      <c r="DC288" s="753"/>
      <c r="DD288" s="753"/>
      <c r="DE288" s="753"/>
      <c r="DF288" s="753"/>
      <c r="DG288" s="753"/>
      <c r="DH288" s="776"/>
    </row>
    <row r="289" spans="1:112">
      <c r="A289" s="89"/>
      <c r="B289" s="89"/>
      <c r="C289" s="89"/>
      <c r="D289" s="89"/>
      <c r="E289" s="89"/>
      <c r="F289" s="89"/>
      <c r="G289" s="89"/>
      <c r="H289" s="89"/>
      <c r="I289" s="89"/>
      <c r="K289" s="758"/>
      <c r="L289" s="758"/>
      <c r="M289" s="758"/>
      <c r="N289" s="758"/>
      <c r="O289" s="778"/>
      <c r="P289" s="758"/>
      <c r="Q289" s="758"/>
      <c r="R289" s="758"/>
      <c r="S289" s="758"/>
      <c r="T289" s="758"/>
      <c r="U289" s="758"/>
      <c r="V289" s="758"/>
      <c r="W289" s="758"/>
      <c r="X289" s="758"/>
      <c r="Y289" s="758"/>
      <c r="Z289" s="758"/>
      <c r="AA289" s="758"/>
      <c r="AB289" s="758"/>
      <c r="AC289" s="758"/>
      <c r="AD289" s="758"/>
      <c r="AE289" s="758"/>
      <c r="AF289" s="758"/>
      <c r="AG289" s="758"/>
      <c r="CI289" s="753"/>
      <c r="CJ289" s="753"/>
      <c r="CK289" s="753"/>
      <c r="CL289" s="753"/>
      <c r="CM289" s="753"/>
      <c r="CN289" s="753"/>
      <c r="CO289" s="753"/>
      <c r="CP289" s="753"/>
      <c r="CQ289" s="753"/>
      <c r="CR289" s="753"/>
      <c r="CS289" s="753"/>
      <c r="CT289" s="753"/>
      <c r="CU289" s="753"/>
      <c r="CV289" s="753"/>
      <c r="CW289" s="753"/>
      <c r="CX289" s="753"/>
      <c r="CY289" s="753"/>
      <c r="CZ289" s="753"/>
      <c r="DA289" s="753"/>
      <c r="DB289" s="753"/>
      <c r="DC289" s="753"/>
      <c r="DD289" s="753"/>
      <c r="DE289" s="753"/>
      <c r="DF289" s="753"/>
      <c r="DG289" s="753"/>
      <c r="DH289" s="776"/>
    </row>
    <row r="290" spans="1:112">
      <c r="A290" s="246"/>
      <c r="B290" s="89"/>
      <c r="C290" s="89"/>
      <c r="D290" s="89"/>
      <c r="E290" s="89"/>
      <c r="F290" s="89"/>
      <c r="G290" s="89"/>
      <c r="H290" s="89"/>
      <c r="I290" s="89"/>
      <c r="K290" s="758"/>
      <c r="L290" s="758"/>
      <c r="M290" s="758"/>
      <c r="N290" s="758"/>
      <c r="O290" s="778"/>
      <c r="P290" s="758"/>
      <c r="Q290" s="758"/>
      <c r="R290" s="758"/>
      <c r="S290" s="758"/>
      <c r="T290" s="758"/>
      <c r="U290" s="758"/>
      <c r="V290" s="758"/>
      <c r="W290" s="758"/>
      <c r="X290" s="758"/>
      <c r="Y290" s="758"/>
      <c r="Z290" s="758"/>
      <c r="AA290" s="758"/>
      <c r="AB290" s="758"/>
      <c r="AC290" s="758"/>
      <c r="AD290" s="758"/>
      <c r="AE290" s="758"/>
      <c r="AF290" s="758"/>
      <c r="AG290" s="758"/>
      <c r="CI290" s="753"/>
      <c r="CJ290" s="753"/>
      <c r="CK290" s="753"/>
      <c r="CL290" s="753"/>
      <c r="CM290" s="753"/>
      <c r="CN290" s="753"/>
      <c r="CO290" s="753"/>
      <c r="CP290" s="753"/>
      <c r="CQ290" s="753"/>
      <c r="CR290" s="753"/>
      <c r="CS290" s="753"/>
      <c r="CT290" s="753"/>
      <c r="CU290" s="753"/>
      <c r="CV290" s="753"/>
      <c r="CW290" s="753"/>
      <c r="CX290" s="753"/>
      <c r="CY290" s="753"/>
      <c r="CZ290" s="753"/>
      <c r="DA290" s="753"/>
      <c r="DB290" s="753"/>
      <c r="DC290" s="753"/>
      <c r="DD290" s="753"/>
      <c r="DE290" s="753"/>
      <c r="DF290" s="753"/>
      <c r="DG290" s="753"/>
      <c r="DH290" s="776"/>
    </row>
    <row r="291" spans="1:112">
      <c r="A291" s="89"/>
      <c r="B291" s="89"/>
      <c r="C291" s="89"/>
      <c r="D291" s="89"/>
      <c r="E291" s="89"/>
      <c r="F291" s="89"/>
      <c r="G291" s="89"/>
      <c r="H291" s="89"/>
      <c r="I291" s="89"/>
      <c r="K291" s="758"/>
      <c r="L291" s="758"/>
      <c r="M291" s="758"/>
      <c r="N291" s="758"/>
      <c r="O291" s="778"/>
      <c r="P291" s="758"/>
      <c r="Q291" s="758"/>
      <c r="R291" s="758"/>
      <c r="S291" s="758"/>
      <c r="T291" s="758"/>
      <c r="U291" s="758"/>
      <c r="V291" s="758"/>
      <c r="W291" s="758"/>
      <c r="X291" s="758"/>
      <c r="Y291" s="758"/>
      <c r="Z291" s="758"/>
      <c r="AA291" s="758"/>
      <c r="AB291" s="758"/>
      <c r="AC291" s="758"/>
      <c r="AD291" s="758"/>
      <c r="AE291" s="758"/>
      <c r="AF291" s="758"/>
      <c r="AG291" s="758"/>
      <c r="CI291" s="753"/>
      <c r="CJ291" s="753"/>
      <c r="CK291" s="753"/>
      <c r="CL291" s="753"/>
      <c r="CM291" s="753"/>
      <c r="CN291" s="753"/>
      <c r="CO291" s="753"/>
      <c r="CP291" s="753"/>
      <c r="CQ291" s="753"/>
      <c r="CR291" s="753"/>
      <c r="CS291" s="753"/>
      <c r="CT291" s="753"/>
      <c r="CU291" s="753"/>
      <c r="CV291" s="753"/>
      <c r="CW291" s="753"/>
      <c r="CX291" s="753"/>
      <c r="CY291" s="753"/>
      <c r="CZ291" s="753"/>
      <c r="DA291" s="753"/>
      <c r="DB291" s="753"/>
      <c r="DC291" s="753"/>
      <c r="DD291" s="753"/>
      <c r="DE291" s="753"/>
      <c r="DF291" s="753"/>
      <c r="DG291" s="753"/>
      <c r="DH291" s="776"/>
    </row>
    <row r="292" spans="1:112">
      <c r="A292" s="89"/>
      <c r="B292" s="89"/>
      <c r="C292" s="89"/>
      <c r="D292" s="89"/>
      <c r="E292" s="89"/>
      <c r="F292" s="89"/>
      <c r="G292" s="89"/>
      <c r="H292" s="89"/>
      <c r="I292" s="89"/>
      <c r="K292" s="758"/>
      <c r="L292" s="758"/>
      <c r="M292" s="758"/>
      <c r="N292" s="758"/>
      <c r="O292" s="778"/>
      <c r="P292" s="758"/>
      <c r="Q292" s="758"/>
      <c r="R292" s="758"/>
      <c r="S292" s="758"/>
      <c r="T292" s="758"/>
      <c r="U292" s="758"/>
      <c r="V292" s="758"/>
      <c r="W292" s="758"/>
      <c r="X292" s="758"/>
      <c r="Y292" s="758"/>
      <c r="Z292" s="758"/>
      <c r="AA292" s="758"/>
      <c r="AB292" s="758"/>
      <c r="AC292" s="758"/>
      <c r="AD292" s="758"/>
      <c r="AE292" s="758"/>
      <c r="AF292" s="758"/>
      <c r="AG292" s="758"/>
      <c r="CI292" s="753"/>
      <c r="CJ292" s="753"/>
      <c r="CK292" s="753"/>
      <c r="CL292" s="753"/>
      <c r="CM292" s="753"/>
      <c r="CN292" s="753"/>
      <c r="CO292" s="753"/>
      <c r="CP292" s="753"/>
      <c r="CQ292" s="753"/>
      <c r="CR292" s="753"/>
      <c r="CS292" s="753"/>
      <c r="CT292" s="753"/>
      <c r="CU292" s="753"/>
      <c r="CV292" s="753"/>
      <c r="CW292" s="753"/>
      <c r="CX292" s="753"/>
      <c r="CY292" s="753"/>
      <c r="CZ292" s="753"/>
      <c r="DA292" s="753"/>
      <c r="DB292" s="753"/>
      <c r="DC292" s="753"/>
      <c r="DD292" s="753"/>
      <c r="DE292" s="753"/>
      <c r="DF292" s="753"/>
      <c r="DG292" s="753"/>
      <c r="DH292" s="776"/>
    </row>
    <row r="293" spans="1:112">
      <c r="A293" s="89"/>
      <c r="B293" s="89"/>
      <c r="C293" s="89"/>
      <c r="D293" s="89"/>
      <c r="E293" s="89"/>
      <c r="F293" s="89"/>
      <c r="G293" s="89"/>
      <c r="H293" s="89"/>
      <c r="I293" s="89"/>
      <c r="K293" s="758"/>
      <c r="L293" s="758"/>
      <c r="M293" s="758"/>
      <c r="N293" s="758"/>
      <c r="O293" s="778"/>
      <c r="P293" s="758"/>
      <c r="Q293" s="758"/>
      <c r="R293" s="758"/>
      <c r="S293" s="758"/>
      <c r="T293" s="758"/>
      <c r="U293" s="758"/>
      <c r="V293" s="758"/>
      <c r="W293" s="758"/>
      <c r="X293" s="758"/>
      <c r="Y293" s="758"/>
      <c r="Z293" s="758"/>
      <c r="AA293" s="758"/>
      <c r="AB293" s="758"/>
      <c r="AC293" s="758"/>
      <c r="AD293" s="758"/>
      <c r="AE293" s="758"/>
      <c r="AF293" s="758"/>
      <c r="AG293" s="758"/>
      <c r="CI293" s="753"/>
      <c r="CJ293" s="753"/>
      <c r="CK293" s="753"/>
      <c r="CL293" s="753"/>
      <c r="CM293" s="753"/>
      <c r="CN293" s="753"/>
      <c r="CO293" s="753"/>
      <c r="CP293" s="753"/>
      <c r="CQ293" s="753"/>
      <c r="CR293" s="753"/>
      <c r="CS293" s="753"/>
      <c r="CT293" s="753"/>
      <c r="CU293" s="753"/>
      <c r="CV293" s="753"/>
      <c r="CW293" s="753"/>
      <c r="CX293" s="753"/>
      <c r="CY293" s="753"/>
      <c r="CZ293" s="753"/>
      <c r="DA293" s="753"/>
      <c r="DB293" s="753"/>
      <c r="DC293" s="753"/>
      <c r="DD293" s="753"/>
      <c r="DE293" s="753"/>
      <c r="DF293" s="753"/>
      <c r="DG293" s="753"/>
      <c r="DH293" s="776"/>
    </row>
    <row r="294" spans="1:112">
      <c r="A294" s="89"/>
      <c r="B294" s="89"/>
      <c r="C294" s="89"/>
      <c r="D294" s="89"/>
      <c r="E294" s="89"/>
      <c r="F294" s="89"/>
      <c r="G294" s="89"/>
      <c r="H294" s="89"/>
      <c r="I294" s="89"/>
      <c r="K294" s="758"/>
      <c r="L294" s="758"/>
      <c r="M294" s="758"/>
      <c r="N294" s="758"/>
      <c r="O294" s="778"/>
      <c r="P294" s="758"/>
      <c r="Q294" s="758"/>
      <c r="R294" s="758"/>
      <c r="S294" s="758"/>
      <c r="T294" s="758"/>
      <c r="U294" s="758"/>
      <c r="V294" s="758"/>
      <c r="W294" s="758"/>
      <c r="X294" s="758"/>
      <c r="Y294" s="758"/>
      <c r="Z294" s="758"/>
      <c r="AA294" s="758"/>
      <c r="AB294" s="758"/>
      <c r="AC294" s="758"/>
      <c r="AD294" s="758"/>
      <c r="AE294" s="758"/>
      <c r="AF294" s="758"/>
      <c r="AG294" s="758"/>
      <c r="CI294" s="753"/>
      <c r="CJ294" s="753"/>
      <c r="CK294" s="753"/>
      <c r="CL294" s="753"/>
      <c r="CM294" s="753"/>
      <c r="CN294" s="753"/>
      <c r="CO294" s="753"/>
      <c r="CP294" s="753"/>
      <c r="CQ294" s="753"/>
      <c r="CR294" s="753"/>
      <c r="CS294" s="753"/>
      <c r="CT294" s="753"/>
      <c r="CU294" s="753"/>
      <c r="CV294" s="753"/>
      <c r="CW294" s="753"/>
      <c r="CX294" s="753"/>
      <c r="CY294" s="753"/>
      <c r="CZ294" s="753"/>
      <c r="DA294" s="753"/>
      <c r="DB294" s="753"/>
      <c r="DC294" s="753"/>
      <c r="DD294" s="753"/>
      <c r="DE294" s="753"/>
      <c r="DF294" s="753"/>
      <c r="DG294" s="753"/>
      <c r="DH294" s="776"/>
    </row>
    <row r="295" spans="1:112">
      <c r="A295" s="89"/>
      <c r="B295" s="89"/>
      <c r="C295" s="89"/>
      <c r="D295" s="89"/>
      <c r="E295" s="89"/>
      <c r="F295" s="89"/>
      <c r="G295" s="89"/>
      <c r="H295" s="89"/>
      <c r="I295" s="89"/>
      <c r="K295" s="758"/>
      <c r="L295" s="758"/>
      <c r="M295" s="758"/>
      <c r="N295" s="758"/>
      <c r="O295" s="778"/>
      <c r="P295" s="758"/>
      <c r="Q295" s="758"/>
      <c r="R295" s="758"/>
      <c r="S295" s="758"/>
      <c r="T295" s="758"/>
      <c r="U295" s="758"/>
      <c r="V295" s="758"/>
      <c r="W295" s="758"/>
      <c r="X295" s="758"/>
      <c r="Y295" s="758"/>
      <c r="Z295" s="758"/>
      <c r="AA295" s="758"/>
      <c r="AB295" s="758"/>
      <c r="AC295" s="758"/>
      <c r="AD295" s="758"/>
      <c r="AE295" s="758"/>
      <c r="AF295" s="758"/>
      <c r="AG295" s="758"/>
      <c r="CI295" s="753"/>
      <c r="CJ295" s="753"/>
      <c r="CK295" s="753"/>
      <c r="CL295" s="753"/>
      <c r="CM295" s="753"/>
      <c r="CN295" s="753"/>
      <c r="CO295" s="753"/>
      <c r="CP295" s="753"/>
      <c r="CQ295" s="753"/>
      <c r="CR295" s="753"/>
      <c r="CS295" s="753"/>
      <c r="CT295" s="753"/>
      <c r="CU295" s="753"/>
      <c r="CV295" s="753"/>
      <c r="CW295" s="753"/>
      <c r="CX295" s="753"/>
      <c r="CY295" s="753"/>
      <c r="CZ295" s="753"/>
      <c r="DA295" s="753"/>
      <c r="DB295" s="753"/>
      <c r="DC295" s="753"/>
      <c r="DD295" s="753"/>
      <c r="DE295" s="753"/>
      <c r="DF295" s="753"/>
      <c r="DG295" s="753"/>
      <c r="DH295" s="776"/>
    </row>
    <row r="296" spans="1:112">
      <c r="A296" s="89"/>
      <c r="B296" s="89"/>
      <c r="C296" s="89"/>
      <c r="D296" s="89"/>
      <c r="E296" s="89"/>
      <c r="F296" s="89"/>
      <c r="G296" s="89"/>
      <c r="H296" s="89"/>
      <c r="I296" s="89"/>
      <c r="K296" s="758"/>
      <c r="L296" s="758"/>
      <c r="M296" s="758"/>
      <c r="N296" s="758"/>
      <c r="O296" s="778"/>
      <c r="P296" s="758"/>
      <c r="Q296" s="758"/>
      <c r="R296" s="758"/>
      <c r="S296" s="758"/>
      <c r="T296" s="758"/>
      <c r="U296" s="758"/>
      <c r="V296" s="758"/>
      <c r="W296" s="758"/>
      <c r="X296" s="758"/>
      <c r="Y296" s="758"/>
      <c r="Z296" s="758"/>
      <c r="AA296" s="758"/>
      <c r="AB296" s="758"/>
      <c r="AC296" s="758"/>
      <c r="AD296" s="758"/>
      <c r="AE296" s="758"/>
      <c r="AF296" s="758"/>
      <c r="AG296" s="758"/>
      <c r="CI296" s="753"/>
      <c r="CJ296" s="753"/>
      <c r="CK296" s="753"/>
      <c r="CL296" s="753"/>
      <c r="CM296" s="753"/>
      <c r="CN296" s="753"/>
      <c r="CO296" s="753"/>
      <c r="CP296" s="753"/>
      <c r="CQ296" s="753"/>
      <c r="CR296" s="753"/>
      <c r="CS296" s="753"/>
      <c r="CT296" s="753"/>
      <c r="CU296" s="753"/>
      <c r="CV296" s="753"/>
      <c r="CW296" s="753"/>
      <c r="CX296" s="753"/>
      <c r="CY296" s="753"/>
      <c r="CZ296" s="753"/>
      <c r="DA296" s="753"/>
      <c r="DB296" s="753"/>
      <c r="DC296" s="753"/>
      <c r="DD296" s="753"/>
      <c r="DE296" s="753"/>
      <c r="DF296" s="753"/>
      <c r="DG296" s="753"/>
      <c r="DH296" s="776"/>
    </row>
    <row r="297" spans="1:112">
      <c r="A297" s="89"/>
      <c r="B297" s="89"/>
      <c r="C297" s="89"/>
      <c r="D297" s="89"/>
      <c r="E297" s="89"/>
      <c r="F297" s="89"/>
      <c r="G297" s="89"/>
      <c r="H297" s="89"/>
      <c r="I297" s="89"/>
      <c r="K297" s="758"/>
      <c r="L297" s="758"/>
      <c r="M297" s="758"/>
      <c r="N297" s="758"/>
      <c r="O297" s="778"/>
      <c r="P297" s="758"/>
      <c r="Q297" s="758"/>
      <c r="R297" s="758"/>
      <c r="S297" s="758"/>
      <c r="T297" s="758"/>
      <c r="U297" s="758"/>
      <c r="V297" s="758"/>
      <c r="W297" s="758"/>
      <c r="X297" s="758"/>
      <c r="Y297" s="758"/>
      <c r="Z297" s="758"/>
      <c r="AA297" s="758"/>
      <c r="AB297" s="758"/>
      <c r="AC297" s="758"/>
      <c r="AD297" s="758"/>
      <c r="AE297" s="758"/>
      <c r="AF297" s="758"/>
      <c r="AG297" s="758"/>
      <c r="CI297" s="753"/>
      <c r="CJ297" s="753"/>
      <c r="CK297" s="753"/>
      <c r="CL297" s="753"/>
      <c r="CM297" s="753"/>
      <c r="CN297" s="753"/>
      <c r="CO297" s="753"/>
      <c r="CP297" s="753"/>
      <c r="CQ297" s="753"/>
      <c r="CR297" s="753"/>
      <c r="CS297" s="753"/>
      <c r="CT297" s="753"/>
      <c r="CU297" s="753"/>
      <c r="CV297" s="753"/>
      <c r="CW297" s="753"/>
      <c r="CX297" s="753"/>
      <c r="CY297" s="753"/>
      <c r="CZ297" s="753"/>
      <c r="DA297" s="753"/>
      <c r="DB297" s="753"/>
      <c r="DC297" s="753"/>
      <c r="DD297" s="753"/>
      <c r="DE297" s="753"/>
      <c r="DF297" s="753"/>
      <c r="DG297" s="753"/>
      <c r="DH297" s="776"/>
    </row>
    <row r="298" spans="1:112">
      <c r="A298" s="89"/>
      <c r="B298" s="89"/>
      <c r="C298" s="89"/>
      <c r="D298" s="89"/>
      <c r="E298" s="89"/>
      <c r="F298" s="89"/>
      <c r="G298" s="89"/>
      <c r="H298" s="89"/>
      <c r="I298" s="89"/>
      <c r="K298" s="758"/>
      <c r="L298" s="758"/>
      <c r="M298" s="758"/>
      <c r="N298" s="758"/>
      <c r="O298" s="778"/>
      <c r="P298" s="758"/>
      <c r="Q298" s="758"/>
      <c r="R298" s="758"/>
      <c r="S298" s="758"/>
      <c r="T298" s="758"/>
      <c r="U298" s="758"/>
      <c r="V298" s="758"/>
      <c r="W298" s="758"/>
      <c r="X298" s="758"/>
      <c r="Y298" s="758"/>
      <c r="Z298" s="758"/>
      <c r="AA298" s="758"/>
      <c r="AB298" s="758"/>
      <c r="AC298" s="758"/>
      <c r="AD298" s="758"/>
      <c r="AE298" s="758"/>
      <c r="AF298" s="758"/>
      <c r="AG298" s="758"/>
      <c r="CI298" s="753"/>
      <c r="CJ298" s="753"/>
      <c r="CK298" s="753"/>
      <c r="CL298" s="753"/>
      <c r="CM298" s="753"/>
      <c r="CN298" s="753"/>
      <c r="CO298" s="753"/>
      <c r="CP298" s="753"/>
      <c r="CQ298" s="753"/>
      <c r="CR298" s="753"/>
      <c r="CS298" s="753"/>
      <c r="CT298" s="753"/>
      <c r="CU298" s="753"/>
      <c r="CV298" s="753"/>
      <c r="CW298" s="753"/>
      <c r="CX298" s="753"/>
      <c r="CY298" s="753"/>
      <c r="CZ298" s="753"/>
      <c r="DA298" s="753"/>
      <c r="DB298" s="753"/>
      <c r="DC298" s="753"/>
      <c r="DD298" s="753"/>
      <c r="DE298" s="753"/>
      <c r="DF298" s="753"/>
      <c r="DG298" s="753"/>
      <c r="DH298" s="776"/>
    </row>
    <row r="299" spans="1:112">
      <c r="A299" s="89"/>
      <c r="B299" s="89"/>
      <c r="C299" s="89"/>
      <c r="D299" s="89"/>
      <c r="E299" s="89"/>
      <c r="F299" s="89"/>
      <c r="G299" s="89"/>
      <c r="H299" s="89"/>
      <c r="I299" s="89"/>
      <c r="K299" s="758"/>
      <c r="L299" s="758"/>
      <c r="M299" s="758"/>
      <c r="N299" s="758"/>
      <c r="O299" s="778"/>
      <c r="P299" s="758"/>
      <c r="Q299" s="758"/>
      <c r="R299" s="758"/>
      <c r="S299" s="758"/>
      <c r="T299" s="758"/>
      <c r="U299" s="758"/>
      <c r="V299" s="758"/>
      <c r="W299" s="758"/>
      <c r="X299" s="758"/>
      <c r="Y299" s="758"/>
      <c r="Z299" s="758"/>
      <c r="AA299" s="758"/>
      <c r="AB299" s="758"/>
      <c r="AC299" s="758"/>
      <c r="AD299" s="758"/>
      <c r="AE299" s="758"/>
      <c r="AF299" s="758"/>
      <c r="AG299" s="758"/>
      <c r="CI299" s="753"/>
      <c r="CJ299" s="753"/>
      <c r="CK299" s="753"/>
      <c r="CL299" s="753"/>
      <c r="CM299" s="753"/>
      <c r="CN299" s="753"/>
      <c r="CO299" s="753"/>
      <c r="CP299" s="753"/>
      <c r="CQ299" s="753"/>
      <c r="CR299" s="753"/>
      <c r="CS299" s="753"/>
      <c r="CT299" s="753"/>
      <c r="CU299" s="753"/>
      <c r="CV299" s="753"/>
      <c r="CW299" s="753"/>
      <c r="CX299" s="753"/>
      <c r="CY299" s="753"/>
      <c r="CZ299" s="753"/>
      <c r="DA299" s="753"/>
      <c r="DB299" s="753"/>
      <c r="DC299" s="753"/>
      <c r="DD299" s="753"/>
      <c r="DE299" s="753"/>
      <c r="DF299" s="753"/>
      <c r="DG299" s="753"/>
      <c r="DH299" s="776"/>
    </row>
    <row r="300" spans="1:112">
      <c r="A300" s="89"/>
      <c r="B300" s="89"/>
      <c r="C300" s="89"/>
      <c r="D300" s="89"/>
      <c r="E300" s="89"/>
      <c r="F300" s="89"/>
      <c r="G300" s="89"/>
      <c r="H300" s="89"/>
      <c r="I300" s="89"/>
      <c r="K300" s="758"/>
      <c r="L300" s="758"/>
      <c r="M300" s="758"/>
      <c r="N300" s="758"/>
      <c r="O300" s="778"/>
      <c r="P300" s="758"/>
      <c r="Q300" s="758"/>
      <c r="R300" s="758"/>
      <c r="S300" s="758"/>
      <c r="T300" s="758"/>
      <c r="U300" s="758"/>
      <c r="V300" s="758"/>
      <c r="W300" s="758"/>
      <c r="X300" s="758"/>
      <c r="Y300" s="758"/>
      <c r="Z300" s="758"/>
      <c r="AA300" s="758"/>
      <c r="AB300" s="758"/>
      <c r="AC300" s="758"/>
      <c r="AD300" s="758"/>
      <c r="AE300" s="758"/>
      <c r="AF300" s="758"/>
      <c r="AG300" s="758"/>
      <c r="CI300" s="753"/>
      <c r="CJ300" s="753"/>
      <c r="CK300" s="753"/>
      <c r="CL300" s="753"/>
      <c r="CM300" s="753"/>
      <c r="CN300" s="753"/>
      <c r="CO300" s="753"/>
      <c r="CP300" s="753"/>
      <c r="CQ300" s="753"/>
      <c r="CR300" s="753"/>
      <c r="CS300" s="753"/>
      <c r="CT300" s="753"/>
      <c r="CU300" s="753"/>
      <c r="CV300" s="753"/>
      <c r="CW300" s="753"/>
      <c r="CX300" s="753"/>
      <c r="CY300" s="753"/>
      <c r="CZ300" s="753"/>
      <c r="DA300" s="753"/>
      <c r="DB300" s="753"/>
      <c r="DC300" s="753"/>
      <c r="DD300" s="753"/>
      <c r="DE300" s="753"/>
      <c r="DF300" s="753"/>
      <c r="DG300" s="753"/>
      <c r="DH300" s="776"/>
    </row>
    <row r="301" spans="1:112">
      <c r="A301" s="89"/>
      <c r="B301" s="89"/>
      <c r="C301" s="89"/>
      <c r="D301" s="89"/>
      <c r="E301" s="89"/>
      <c r="F301" s="89"/>
      <c r="G301" s="89"/>
      <c r="H301" s="89"/>
      <c r="I301" s="89"/>
      <c r="K301" s="758"/>
      <c r="L301" s="758"/>
      <c r="M301" s="758"/>
      <c r="N301" s="758"/>
      <c r="O301" s="778"/>
      <c r="P301" s="758"/>
      <c r="Q301" s="758"/>
      <c r="R301" s="758"/>
      <c r="S301" s="758"/>
      <c r="T301" s="758"/>
      <c r="U301" s="758"/>
      <c r="V301" s="758"/>
      <c r="W301" s="758"/>
      <c r="X301" s="758"/>
      <c r="Y301" s="758"/>
      <c r="Z301" s="758"/>
      <c r="AA301" s="758"/>
      <c r="AB301" s="758"/>
      <c r="AC301" s="758"/>
      <c r="AD301" s="758"/>
      <c r="AE301" s="758"/>
      <c r="AF301" s="758"/>
      <c r="AG301" s="758"/>
      <c r="CI301" s="753"/>
      <c r="CJ301" s="753"/>
      <c r="CK301" s="753"/>
      <c r="CL301" s="753"/>
      <c r="CM301" s="753"/>
      <c r="CN301" s="753"/>
      <c r="CO301" s="753"/>
      <c r="CP301" s="753"/>
      <c r="CQ301" s="753"/>
      <c r="CR301" s="753"/>
      <c r="CS301" s="753"/>
      <c r="CT301" s="753"/>
      <c r="CU301" s="753"/>
      <c r="CV301" s="753"/>
      <c r="CW301" s="753"/>
      <c r="CX301" s="753"/>
      <c r="CY301" s="753"/>
      <c r="CZ301" s="753"/>
      <c r="DA301" s="753"/>
      <c r="DB301" s="753"/>
      <c r="DC301" s="753"/>
      <c r="DD301" s="753"/>
      <c r="DE301" s="753"/>
      <c r="DF301" s="753"/>
      <c r="DG301" s="753"/>
      <c r="DH301" s="776"/>
    </row>
    <row r="302" spans="1:112">
      <c r="A302" s="89"/>
      <c r="B302" s="89"/>
      <c r="C302" s="89"/>
      <c r="D302" s="89"/>
      <c r="E302" s="89"/>
      <c r="F302" s="89"/>
      <c r="G302" s="89"/>
      <c r="H302" s="89"/>
      <c r="I302" s="89"/>
      <c r="CI302" s="753"/>
      <c r="CJ302" s="753"/>
      <c r="CK302" s="753"/>
      <c r="CL302" s="753"/>
      <c r="CM302" s="753"/>
      <c r="CN302" s="753"/>
      <c r="CO302" s="753"/>
      <c r="CP302" s="753"/>
      <c r="CQ302" s="753"/>
      <c r="CR302" s="753"/>
      <c r="CS302" s="753"/>
      <c r="CT302" s="753"/>
      <c r="CU302" s="753"/>
      <c r="CV302" s="753"/>
      <c r="CW302" s="753"/>
      <c r="CX302" s="753"/>
      <c r="CY302" s="753"/>
      <c r="CZ302" s="753"/>
      <c r="DA302" s="753"/>
      <c r="DB302" s="753"/>
      <c r="DC302" s="753"/>
      <c r="DD302" s="753"/>
      <c r="DE302" s="753"/>
      <c r="DF302" s="753"/>
      <c r="DG302" s="753"/>
      <c r="DH302" s="776"/>
    </row>
    <row r="303" spans="1:112">
      <c r="A303" s="89"/>
      <c r="B303" s="89"/>
      <c r="C303" s="89"/>
      <c r="D303" s="89"/>
      <c r="E303" s="89"/>
      <c r="F303" s="89"/>
      <c r="G303" s="89"/>
      <c r="H303" s="89"/>
      <c r="I303" s="89"/>
      <c r="CI303" s="753"/>
      <c r="CJ303" s="753"/>
      <c r="CK303" s="753"/>
      <c r="CL303" s="753"/>
      <c r="CM303" s="753"/>
      <c r="CN303" s="753"/>
      <c r="CO303" s="753"/>
      <c r="CP303" s="753"/>
      <c r="CQ303" s="753"/>
      <c r="CR303" s="753"/>
      <c r="CS303" s="753"/>
      <c r="CT303" s="753"/>
      <c r="CU303" s="753"/>
      <c r="CV303" s="753"/>
      <c r="CW303" s="753"/>
      <c r="CX303" s="753"/>
      <c r="CY303" s="753"/>
      <c r="CZ303" s="753"/>
      <c r="DA303" s="753"/>
      <c r="DB303" s="753"/>
      <c r="DC303" s="753"/>
      <c r="DD303" s="753"/>
      <c r="DE303" s="753"/>
      <c r="DF303" s="753"/>
      <c r="DG303" s="753"/>
      <c r="DH303" s="776"/>
    </row>
    <row r="304" spans="1:112">
      <c r="A304" s="89"/>
      <c r="B304" s="89"/>
      <c r="C304" s="89"/>
      <c r="D304" s="89"/>
      <c r="E304" s="89"/>
      <c r="F304" s="89"/>
      <c r="G304" s="89"/>
      <c r="H304" s="89"/>
      <c r="I304" s="89"/>
      <c r="CI304" s="753"/>
      <c r="CJ304" s="753"/>
      <c r="CK304" s="753"/>
      <c r="CL304" s="753"/>
      <c r="CM304" s="753"/>
      <c r="CN304" s="753"/>
      <c r="CO304" s="753"/>
      <c r="CP304" s="753"/>
      <c r="CQ304" s="753"/>
      <c r="CR304" s="753"/>
      <c r="CS304" s="753"/>
      <c r="CT304" s="753"/>
      <c r="CU304" s="753"/>
      <c r="CV304" s="753"/>
      <c r="CW304" s="753"/>
      <c r="CX304" s="753"/>
      <c r="CY304" s="753"/>
      <c r="CZ304" s="753"/>
      <c r="DA304" s="753"/>
      <c r="DB304" s="753"/>
      <c r="DC304" s="753"/>
      <c r="DD304" s="753"/>
      <c r="DE304" s="753"/>
      <c r="DF304" s="753"/>
      <c r="DG304" s="753"/>
      <c r="DH304" s="776"/>
    </row>
    <row r="305" spans="1:112">
      <c r="A305" s="89"/>
      <c r="B305" s="89"/>
      <c r="C305" s="89"/>
      <c r="D305" s="89"/>
      <c r="E305" s="89"/>
      <c r="F305" s="89"/>
      <c r="G305" s="89"/>
      <c r="H305" s="89"/>
      <c r="I305" s="89"/>
      <c r="CI305" s="753"/>
      <c r="CJ305" s="753"/>
      <c r="CK305" s="753"/>
      <c r="CL305" s="753"/>
      <c r="CM305" s="753"/>
      <c r="CN305" s="753"/>
      <c r="CO305" s="753"/>
      <c r="CP305" s="753"/>
      <c r="CQ305" s="753"/>
      <c r="CR305" s="753"/>
      <c r="CS305" s="753"/>
      <c r="CT305" s="753"/>
      <c r="CU305" s="753"/>
      <c r="CV305" s="753"/>
      <c r="CW305" s="753"/>
      <c r="CX305" s="753"/>
      <c r="CY305" s="753"/>
      <c r="CZ305" s="753"/>
      <c r="DA305" s="753"/>
      <c r="DB305" s="753"/>
      <c r="DC305" s="753"/>
      <c r="DD305" s="753"/>
      <c r="DE305" s="753"/>
      <c r="DF305" s="753"/>
      <c r="DG305" s="753"/>
      <c r="DH305" s="776"/>
    </row>
    <row r="306" spans="1:112">
      <c r="A306" s="89"/>
      <c r="B306" s="89"/>
      <c r="C306" s="89"/>
      <c r="D306" s="89"/>
      <c r="E306" s="89"/>
      <c r="F306" s="89"/>
      <c r="G306" s="89"/>
      <c r="H306" s="89"/>
      <c r="I306" s="89"/>
      <c r="CI306" s="753"/>
      <c r="CJ306" s="753"/>
      <c r="CK306" s="753"/>
      <c r="CL306" s="753"/>
      <c r="CM306" s="753"/>
      <c r="CN306" s="753"/>
      <c r="CO306" s="753"/>
      <c r="CP306" s="753"/>
      <c r="CQ306" s="753"/>
      <c r="CR306" s="753"/>
      <c r="CS306" s="753"/>
      <c r="CT306" s="753"/>
      <c r="CU306" s="753"/>
      <c r="CV306" s="753"/>
      <c r="CW306" s="753"/>
      <c r="CX306" s="753"/>
      <c r="CY306" s="753"/>
      <c r="CZ306" s="753"/>
      <c r="DA306" s="753"/>
      <c r="DB306" s="753"/>
      <c r="DC306" s="753"/>
      <c r="DD306" s="753"/>
      <c r="DE306" s="753"/>
      <c r="DF306" s="753"/>
      <c r="DG306" s="753"/>
      <c r="DH306" s="776"/>
    </row>
    <row r="307" spans="1:112">
      <c r="A307" s="89"/>
      <c r="B307" s="89"/>
      <c r="C307" s="89"/>
      <c r="D307" s="89"/>
      <c r="E307" s="89"/>
      <c r="F307" s="89"/>
      <c r="G307" s="89"/>
      <c r="H307" s="89"/>
      <c r="I307" s="89"/>
      <c r="CI307" s="753"/>
      <c r="CJ307" s="753"/>
      <c r="CK307" s="753"/>
      <c r="CL307" s="753"/>
      <c r="CM307" s="753"/>
      <c r="CN307" s="753"/>
      <c r="CO307" s="753"/>
      <c r="CP307" s="753"/>
      <c r="CQ307" s="753"/>
      <c r="CR307" s="753"/>
      <c r="CS307" s="753"/>
      <c r="CT307" s="753"/>
      <c r="CU307" s="753"/>
      <c r="CV307" s="753"/>
      <c r="CW307" s="753"/>
      <c r="CX307" s="753"/>
      <c r="CY307" s="753"/>
      <c r="CZ307" s="753"/>
      <c r="DA307" s="753"/>
      <c r="DB307" s="753"/>
      <c r="DC307" s="753"/>
      <c r="DD307" s="753"/>
      <c r="DE307" s="753"/>
      <c r="DF307" s="753"/>
      <c r="DG307" s="753"/>
      <c r="DH307" s="776"/>
    </row>
    <row r="308" spans="1:112">
      <c r="A308" s="89"/>
      <c r="B308" s="89"/>
      <c r="C308" s="89"/>
      <c r="D308" s="89"/>
      <c r="E308" s="89"/>
      <c r="F308" s="89"/>
      <c r="G308" s="89"/>
      <c r="H308" s="89"/>
      <c r="I308" s="89"/>
      <c r="CI308" s="753"/>
      <c r="CJ308" s="753"/>
      <c r="CK308" s="753"/>
      <c r="CL308" s="753"/>
      <c r="CM308" s="753"/>
      <c r="CN308" s="753"/>
      <c r="CO308" s="753"/>
      <c r="CP308" s="753"/>
      <c r="CQ308" s="753"/>
      <c r="CR308" s="753"/>
      <c r="CS308" s="753"/>
      <c r="CT308" s="753"/>
      <c r="CU308" s="753"/>
      <c r="CV308" s="753"/>
      <c r="CW308" s="753"/>
      <c r="CX308" s="753"/>
      <c r="CY308" s="753"/>
      <c r="CZ308" s="753"/>
      <c r="DA308" s="753"/>
      <c r="DB308" s="753"/>
      <c r="DC308" s="753"/>
      <c r="DD308" s="753"/>
      <c r="DE308" s="753"/>
      <c r="DF308" s="753"/>
      <c r="DG308" s="753"/>
      <c r="DH308" s="776"/>
    </row>
    <row r="309" spans="1:112">
      <c r="A309" s="89"/>
      <c r="B309" s="89"/>
      <c r="C309" s="89"/>
      <c r="D309" s="89"/>
      <c r="E309" s="89"/>
      <c r="F309" s="89"/>
      <c r="G309" s="89"/>
      <c r="H309" s="89"/>
      <c r="I309" s="89"/>
      <c r="CI309" s="753"/>
      <c r="CJ309" s="753"/>
      <c r="CK309" s="753"/>
      <c r="CL309" s="753"/>
      <c r="CM309" s="753"/>
      <c r="CN309" s="753"/>
      <c r="CO309" s="753"/>
      <c r="CP309" s="753"/>
      <c r="CQ309" s="753"/>
      <c r="CR309" s="753"/>
      <c r="CS309" s="753"/>
      <c r="CT309" s="753"/>
      <c r="CU309" s="753"/>
      <c r="CV309" s="753"/>
      <c r="CW309" s="753"/>
      <c r="CX309" s="753"/>
      <c r="CY309" s="753"/>
      <c r="CZ309" s="753"/>
      <c r="DA309" s="753"/>
      <c r="DB309" s="753"/>
      <c r="DC309" s="753"/>
      <c r="DD309" s="753"/>
      <c r="DE309" s="753"/>
      <c r="DF309" s="753"/>
      <c r="DG309" s="753"/>
      <c r="DH309" s="776"/>
    </row>
    <row r="310" spans="1:112">
      <c r="A310" s="89"/>
      <c r="B310" s="89"/>
      <c r="C310" s="89"/>
      <c r="D310" s="89"/>
      <c r="E310" s="89"/>
      <c r="F310" s="89"/>
      <c r="G310" s="89"/>
      <c r="H310" s="89"/>
      <c r="I310" s="89"/>
      <c r="CI310" s="753"/>
      <c r="CJ310" s="753"/>
      <c r="CK310" s="753"/>
      <c r="CL310" s="753"/>
      <c r="CM310" s="753"/>
      <c r="CN310" s="753"/>
      <c r="CO310" s="753"/>
      <c r="CP310" s="753"/>
      <c r="CQ310" s="753"/>
      <c r="CR310" s="753"/>
      <c r="CS310" s="753"/>
      <c r="CT310" s="753"/>
      <c r="CU310" s="753"/>
      <c r="CV310" s="753"/>
      <c r="CW310" s="753"/>
      <c r="CX310" s="753"/>
      <c r="CY310" s="753"/>
      <c r="CZ310" s="753"/>
      <c r="DA310" s="753"/>
      <c r="DB310" s="753"/>
      <c r="DC310" s="753"/>
      <c r="DD310" s="753"/>
      <c r="DE310" s="753"/>
      <c r="DF310" s="753"/>
      <c r="DG310" s="753"/>
      <c r="DH310" s="776"/>
    </row>
    <row r="311" spans="1:112">
      <c r="A311" s="89"/>
      <c r="B311" s="89"/>
      <c r="C311" s="89"/>
      <c r="D311" s="89"/>
      <c r="E311" s="89"/>
      <c r="F311" s="89"/>
      <c r="G311" s="89"/>
      <c r="H311" s="89"/>
      <c r="I311" s="89"/>
      <c r="CI311" s="753"/>
      <c r="CJ311" s="753"/>
      <c r="CK311" s="753"/>
      <c r="CL311" s="753"/>
      <c r="CM311" s="753"/>
      <c r="CN311" s="753"/>
      <c r="CO311" s="753"/>
      <c r="CP311" s="753"/>
      <c r="CQ311" s="753"/>
      <c r="CR311" s="753"/>
      <c r="CS311" s="753"/>
      <c r="CT311" s="753"/>
      <c r="CU311" s="753"/>
      <c r="CV311" s="753"/>
      <c r="CW311" s="753"/>
      <c r="CX311" s="753"/>
      <c r="CY311" s="753"/>
      <c r="CZ311" s="753"/>
      <c r="DA311" s="753"/>
      <c r="DB311" s="753"/>
      <c r="DC311" s="753"/>
      <c r="DD311" s="753"/>
      <c r="DE311" s="753"/>
      <c r="DF311" s="753"/>
      <c r="DG311" s="753"/>
    </row>
    <row r="312" spans="1:112">
      <c r="A312" s="89"/>
      <c r="B312" s="89"/>
      <c r="C312" s="89"/>
      <c r="D312" s="89"/>
      <c r="E312" s="89"/>
      <c r="F312" s="89"/>
      <c r="G312" s="89"/>
      <c r="H312" s="89"/>
      <c r="I312" s="89"/>
      <c r="CI312" s="753"/>
      <c r="CJ312" s="753"/>
      <c r="CK312" s="753"/>
      <c r="CL312" s="753"/>
      <c r="CM312" s="753"/>
      <c r="CN312" s="753"/>
      <c r="CO312" s="753"/>
      <c r="CP312" s="753"/>
      <c r="CQ312" s="753"/>
      <c r="CR312" s="753"/>
      <c r="CS312" s="753"/>
      <c r="CT312" s="753"/>
      <c r="CU312" s="753"/>
      <c r="CV312" s="753"/>
      <c r="CW312" s="753"/>
      <c r="CX312" s="753"/>
      <c r="CY312" s="753"/>
      <c r="CZ312" s="753"/>
      <c r="DA312" s="753"/>
      <c r="DB312" s="753"/>
      <c r="DC312" s="753"/>
      <c r="DD312" s="753"/>
      <c r="DE312" s="753"/>
      <c r="DF312" s="753"/>
      <c r="DG312" s="753"/>
    </row>
    <row r="313" spans="1:112">
      <c r="A313" s="89"/>
      <c r="B313" s="89"/>
      <c r="C313" s="89"/>
      <c r="D313" s="89"/>
      <c r="E313" s="89"/>
      <c r="F313" s="89"/>
      <c r="G313" s="89"/>
      <c r="H313" s="89"/>
      <c r="I313" s="89"/>
      <c r="CI313" s="753"/>
      <c r="CJ313" s="753"/>
      <c r="CK313" s="753"/>
      <c r="CL313" s="753"/>
      <c r="CM313" s="753"/>
      <c r="CN313" s="753"/>
      <c r="CO313" s="753"/>
      <c r="CP313" s="753"/>
      <c r="CQ313" s="753"/>
      <c r="CR313" s="753"/>
      <c r="CS313" s="753"/>
      <c r="CT313" s="753"/>
      <c r="CU313" s="753"/>
      <c r="CV313" s="753"/>
      <c r="CW313" s="753"/>
      <c r="CX313" s="753"/>
      <c r="CY313" s="753"/>
      <c r="CZ313" s="753"/>
      <c r="DA313" s="753"/>
      <c r="DB313" s="753"/>
      <c r="DC313" s="753"/>
      <c r="DD313" s="753"/>
      <c r="DE313" s="753"/>
      <c r="DF313" s="753"/>
      <c r="DG313" s="753"/>
    </row>
    <row r="314" spans="1:112">
      <c r="A314" s="89"/>
      <c r="C314" s="89"/>
      <c r="D314" s="89"/>
      <c r="E314" s="89"/>
      <c r="F314" s="89"/>
      <c r="G314" s="89"/>
      <c r="H314" s="89"/>
      <c r="I314" s="89"/>
      <c r="CI314" s="753"/>
      <c r="CJ314" s="753"/>
      <c r="CK314" s="753"/>
      <c r="CL314" s="753"/>
      <c r="CM314" s="753"/>
      <c r="CN314" s="753"/>
      <c r="CO314" s="753"/>
      <c r="CP314" s="753"/>
      <c r="CQ314" s="753"/>
      <c r="CR314" s="753"/>
      <c r="CS314" s="753"/>
      <c r="CT314" s="753"/>
      <c r="CU314" s="753"/>
      <c r="CV314" s="753"/>
      <c r="CW314" s="753"/>
      <c r="CX314" s="753"/>
      <c r="CY314" s="753"/>
      <c r="CZ314" s="753"/>
      <c r="DA314" s="753"/>
      <c r="DB314" s="753"/>
      <c r="DC314" s="753"/>
      <c r="DD314" s="753"/>
      <c r="DE314" s="753"/>
      <c r="DF314" s="753"/>
      <c r="DG314" s="753"/>
    </row>
    <row r="315" spans="1:112">
      <c r="CI315" s="753"/>
      <c r="CJ315" s="753"/>
      <c r="CK315" s="753"/>
      <c r="CL315" s="753"/>
      <c r="CM315" s="753"/>
      <c r="CN315" s="753"/>
      <c r="CO315" s="753"/>
      <c r="CP315" s="753"/>
      <c r="CQ315" s="753"/>
      <c r="CR315" s="753"/>
      <c r="CS315" s="753"/>
      <c r="CT315" s="753"/>
      <c r="CU315" s="753"/>
      <c r="CV315" s="753"/>
      <c r="CW315" s="753"/>
      <c r="CX315" s="753"/>
      <c r="CY315" s="753"/>
      <c r="CZ315" s="753"/>
      <c r="DA315" s="753"/>
      <c r="DB315" s="753"/>
      <c r="DC315" s="753"/>
      <c r="DD315" s="753"/>
      <c r="DE315" s="753"/>
      <c r="DF315" s="753"/>
      <c r="DG315" s="753"/>
    </row>
    <row r="316" spans="1:112">
      <c r="CI316" s="753"/>
      <c r="CJ316" s="753"/>
      <c r="CK316" s="753"/>
      <c r="CL316" s="753"/>
      <c r="CM316" s="753"/>
      <c r="CN316" s="753"/>
      <c r="CO316" s="753"/>
      <c r="CP316" s="753"/>
      <c r="CQ316" s="753"/>
      <c r="CR316" s="753"/>
      <c r="CS316" s="753"/>
      <c r="CT316" s="753"/>
      <c r="CU316" s="753"/>
      <c r="CV316" s="753"/>
      <c r="CW316" s="753"/>
      <c r="CX316" s="753"/>
      <c r="CY316" s="753"/>
      <c r="CZ316" s="753"/>
      <c r="DA316" s="753"/>
      <c r="DB316" s="753"/>
      <c r="DC316" s="753"/>
      <c r="DD316" s="753"/>
      <c r="DE316" s="753"/>
      <c r="DF316" s="753"/>
      <c r="DG316" s="753"/>
    </row>
    <row r="317" spans="1:112">
      <c r="CI317" s="753"/>
      <c r="CJ317" s="753"/>
      <c r="CK317" s="753"/>
      <c r="CL317" s="753"/>
      <c r="CM317" s="753"/>
      <c r="CN317" s="753"/>
      <c r="CO317" s="753"/>
      <c r="CP317" s="753"/>
      <c r="CQ317" s="753"/>
      <c r="CR317" s="753"/>
      <c r="CS317" s="753"/>
      <c r="CT317" s="753"/>
      <c r="CU317" s="753"/>
      <c r="CV317" s="753"/>
      <c r="CW317" s="753"/>
      <c r="CX317" s="753"/>
      <c r="CY317" s="753"/>
      <c r="CZ317" s="753"/>
      <c r="DA317" s="753"/>
      <c r="DB317" s="753"/>
      <c r="DC317" s="753"/>
      <c r="DD317" s="753"/>
      <c r="DE317" s="753"/>
      <c r="DF317" s="753"/>
      <c r="DG317" s="753"/>
    </row>
    <row r="318" spans="1:112">
      <c r="CI318" s="753"/>
      <c r="CJ318" s="753"/>
      <c r="CK318" s="753"/>
      <c r="CL318" s="753"/>
      <c r="CM318" s="753"/>
      <c r="CN318" s="753"/>
      <c r="CO318" s="753"/>
      <c r="CP318" s="753"/>
      <c r="CQ318" s="753"/>
      <c r="CR318" s="753"/>
      <c r="CS318" s="753"/>
      <c r="CT318" s="753"/>
      <c r="CU318" s="753"/>
      <c r="CV318" s="753"/>
      <c r="CW318" s="753"/>
      <c r="CX318" s="753"/>
      <c r="CY318" s="753"/>
      <c r="CZ318" s="753"/>
      <c r="DA318" s="753"/>
      <c r="DB318" s="753"/>
      <c r="DC318" s="753"/>
      <c r="DD318" s="753"/>
      <c r="DE318" s="753"/>
      <c r="DF318" s="753"/>
      <c r="DG318" s="753"/>
    </row>
    <row r="319" spans="1:112">
      <c r="CI319" s="753"/>
      <c r="CJ319" s="753"/>
      <c r="CK319" s="753"/>
      <c r="CL319" s="753"/>
      <c r="CM319" s="753"/>
      <c r="CN319" s="753"/>
      <c r="CO319" s="753"/>
      <c r="CP319" s="753"/>
      <c r="CQ319" s="753"/>
      <c r="CR319" s="753"/>
      <c r="CS319" s="753"/>
      <c r="CT319" s="753"/>
      <c r="CU319" s="753"/>
      <c r="CV319" s="753"/>
      <c r="CW319" s="753"/>
      <c r="CX319" s="753"/>
      <c r="CY319" s="753"/>
      <c r="CZ319" s="753"/>
      <c r="DA319" s="753"/>
      <c r="DB319" s="753"/>
      <c r="DC319" s="753"/>
      <c r="DD319" s="753"/>
      <c r="DE319" s="753"/>
      <c r="DF319" s="753"/>
      <c r="DG319" s="753"/>
    </row>
    <row r="320" spans="1:112">
      <c r="CI320" s="753"/>
      <c r="CJ320" s="753"/>
      <c r="CK320" s="753"/>
      <c r="CL320" s="753"/>
      <c r="CM320" s="753"/>
      <c r="CN320" s="753"/>
      <c r="CO320" s="753"/>
      <c r="CP320" s="753"/>
      <c r="CQ320" s="753"/>
      <c r="CR320" s="753"/>
      <c r="CS320" s="753"/>
      <c r="CT320" s="753"/>
      <c r="CU320" s="753"/>
      <c r="CV320" s="753"/>
      <c r="CW320" s="753"/>
      <c r="CX320" s="753"/>
      <c r="CY320" s="753"/>
      <c r="CZ320" s="753"/>
      <c r="DA320" s="753"/>
      <c r="DB320" s="753"/>
      <c r="DC320" s="753"/>
      <c r="DD320" s="753"/>
      <c r="DE320" s="753"/>
      <c r="DF320" s="753"/>
      <c r="DG320" s="753"/>
    </row>
    <row r="321" spans="87:111">
      <c r="CI321" s="753"/>
      <c r="CJ321" s="753"/>
      <c r="CK321" s="753"/>
      <c r="CL321" s="753"/>
      <c r="CM321" s="753"/>
      <c r="CN321" s="753"/>
      <c r="CO321" s="753"/>
      <c r="CP321" s="753"/>
      <c r="CQ321" s="753"/>
      <c r="CR321" s="753"/>
      <c r="CS321" s="753"/>
      <c r="CT321" s="753"/>
      <c r="CU321" s="753"/>
      <c r="CV321" s="753"/>
      <c r="CW321" s="753"/>
      <c r="CX321" s="753"/>
      <c r="CY321" s="753"/>
      <c r="CZ321" s="753"/>
      <c r="DA321" s="753"/>
      <c r="DB321" s="753"/>
      <c r="DC321" s="753"/>
      <c r="DD321" s="753"/>
      <c r="DE321" s="753"/>
      <c r="DF321" s="753"/>
      <c r="DG321" s="753"/>
    </row>
    <row r="322" spans="87:111">
      <c r="CI322" s="753"/>
      <c r="CJ322" s="753"/>
      <c r="CK322" s="753"/>
      <c r="CL322" s="753"/>
      <c r="CM322" s="753"/>
      <c r="CN322" s="753"/>
      <c r="CO322" s="753"/>
      <c r="CP322" s="753"/>
      <c r="CQ322" s="753"/>
      <c r="CR322" s="753"/>
      <c r="CS322" s="753"/>
      <c r="CT322" s="753"/>
      <c r="CU322" s="753"/>
      <c r="CV322" s="753"/>
      <c r="CW322" s="753"/>
      <c r="CX322" s="753"/>
      <c r="CY322" s="753"/>
      <c r="CZ322" s="753"/>
      <c r="DA322" s="753"/>
      <c r="DB322" s="753"/>
      <c r="DC322" s="753"/>
      <c r="DD322" s="753"/>
      <c r="DE322" s="753"/>
      <c r="DF322" s="753"/>
      <c r="DG322" s="753"/>
    </row>
    <row r="323" spans="87:111">
      <c r="CI323" s="753"/>
      <c r="CJ323" s="753"/>
      <c r="CK323" s="753"/>
      <c r="CL323" s="753"/>
      <c r="CM323" s="753"/>
      <c r="CN323" s="753"/>
      <c r="CO323" s="753"/>
      <c r="CP323" s="753"/>
      <c r="CQ323" s="753"/>
      <c r="CR323" s="753"/>
      <c r="CS323" s="753"/>
      <c r="CT323" s="753"/>
      <c r="CU323" s="753"/>
      <c r="CV323" s="753"/>
      <c r="CW323" s="753"/>
      <c r="CX323" s="753"/>
      <c r="CY323" s="753"/>
      <c r="CZ323" s="753"/>
      <c r="DA323" s="753"/>
      <c r="DB323" s="753"/>
      <c r="DC323" s="753"/>
      <c r="DD323" s="753"/>
      <c r="DE323" s="753"/>
      <c r="DF323" s="753"/>
      <c r="DG323" s="753"/>
    </row>
    <row r="324" spans="87:111">
      <c r="CI324" s="753"/>
      <c r="CJ324" s="753"/>
      <c r="CK324" s="753"/>
      <c r="CL324" s="753"/>
      <c r="CM324" s="753"/>
      <c r="CN324" s="753"/>
      <c r="CO324" s="753"/>
      <c r="CP324" s="753"/>
      <c r="CQ324" s="753"/>
      <c r="CR324" s="753"/>
      <c r="CS324" s="753"/>
      <c r="CT324" s="753"/>
      <c r="CU324" s="753"/>
      <c r="CV324" s="753"/>
      <c r="CW324" s="753"/>
      <c r="CX324" s="753"/>
      <c r="CY324" s="753"/>
      <c r="CZ324" s="753"/>
      <c r="DA324" s="753"/>
      <c r="DB324" s="753"/>
      <c r="DC324" s="753"/>
      <c r="DD324" s="753"/>
      <c r="DE324" s="753"/>
      <c r="DF324" s="753"/>
      <c r="DG324" s="753"/>
    </row>
    <row r="325" spans="87:111">
      <c r="CI325" s="753"/>
      <c r="CJ325" s="753"/>
      <c r="CK325" s="753"/>
      <c r="CL325" s="753"/>
      <c r="CM325" s="753"/>
      <c r="CN325" s="753"/>
      <c r="CO325" s="753"/>
      <c r="CP325" s="753"/>
      <c r="CQ325" s="753"/>
      <c r="CR325" s="753"/>
      <c r="CS325" s="753"/>
      <c r="CT325" s="753"/>
      <c r="CU325" s="753"/>
      <c r="CV325" s="753"/>
      <c r="CW325" s="753"/>
      <c r="CX325" s="753"/>
      <c r="CY325" s="753"/>
      <c r="CZ325" s="753"/>
      <c r="DA325" s="753"/>
      <c r="DB325" s="753"/>
      <c r="DC325" s="753"/>
      <c r="DD325" s="753"/>
      <c r="DE325" s="753"/>
      <c r="DF325" s="753"/>
      <c r="DG325" s="753"/>
    </row>
    <row r="326" spans="87:111">
      <c r="CI326" s="753"/>
      <c r="CJ326" s="753"/>
      <c r="CK326" s="753"/>
      <c r="CL326" s="753"/>
      <c r="CM326" s="753"/>
      <c r="CN326" s="753"/>
      <c r="CO326" s="753"/>
      <c r="CP326" s="753"/>
      <c r="CQ326" s="753"/>
      <c r="CR326" s="753"/>
      <c r="CS326" s="753"/>
      <c r="CT326" s="753"/>
      <c r="CU326" s="753"/>
      <c r="CV326" s="753"/>
      <c r="CW326" s="753"/>
      <c r="CX326" s="753"/>
      <c r="CY326" s="753"/>
      <c r="CZ326" s="753"/>
      <c r="DA326" s="753"/>
      <c r="DB326" s="753"/>
      <c r="DC326" s="753"/>
      <c r="DD326" s="753"/>
      <c r="DE326" s="753"/>
      <c r="DF326" s="753"/>
      <c r="DG326" s="753"/>
    </row>
    <row r="327" spans="87:111">
      <c r="CI327" s="753"/>
      <c r="CJ327" s="753"/>
      <c r="CK327" s="753"/>
      <c r="CL327" s="753"/>
      <c r="CM327" s="753"/>
      <c r="CN327" s="753"/>
      <c r="CO327" s="753"/>
      <c r="CP327" s="753"/>
      <c r="CQ327" s="753"/>
      <c r="CR327" s="753"/>
      <c r="CS327" s="753"/>
      <c r="CT327" s="753"/>
      <c r="CU327" s="753"/>
      <c r="CV327" s="753"/>
      <c r="CW327" s="753"/>
      <c r="CX327" s="753"/>
      <c r="CY327" s="753"/>
      <c r="CZ327" s="753"/>
      <c r="DA327" s="753"/>
      <c r="DB327" s="753"/>
      <c r="DC327" s="753"/>
      <c r="DD327" s="753"/>
      <c r="DE327" s="753"/>
      <c r="DF327" s="753"/>
      <c r="DG327" s="753"/>
    </row>
    <row r="328" spans="87:111">
      <c r="CI328" s="753"/>
      <c r="CJ328" s="753"/>
      <c r="CK328" s="753"/>
      <c r="CL328" s="753"/>
      <c r="CM328" s="753"/>
      <c r="CN328" s="753"/>
      <c r="CO328" s="753"/>
      <c r="CP328" s="753"/>
      <c r="CQ328" s="753"/>
      <c r="CR328" s="753"/>
      <c r="CS328" s="753"/>
      <c r="CT328" s="753"/>
      <c r="CU328" s="753"/>
      <c r="CV328" s="753"/>
      <c r="CW328" s="753"/>
      <c r="CX328" s="753"/>
      <c r="CY328" s="753"/>
      <c r="CZ328" s="753"/>
      <c r="DA328" s="753"/>
      <c r="DB328" s="753"/>
      <c r="DC328" s="753"/>
      <c r="DD328" s="753"/>
      <c r="DE328" s="753"/>
      <c r="DF328" s="753"/>
      <c r="DG328" s="753"/>
    </row>
    <row r="329" spans="87:111">
      <c r="CI329" s="753"/>
      <c r="CJ329" s="753"/>
      <c r="CK329" s="753"/>
      <c r="CL329" s="753"/>
      <c r="CM329" s="753"/>
      <c r="CN329" s="753"/>
      <c r="CO329" s="753"/>
      <c r="CP329" s="753"/>
      <c r="CQ329" s="753"/>
      <c r="CR329" s="753"/>
      <c r="CS329" s="753"/>
      <c r="CT329" s="753"/>
      <c r="CU329" s="753"/>
      <c r="CV329" s="753"/>
      <c r="CW329" s="753"/>
      <c r="CX329" s="753"/>
      <c r="CY329" s="753"/>
      <c r="CZ329" s="753"/>
      <c r="DA329" s="753"/>
      <c r="DB329" s="753"/>
      <c r="DC329" s="753"/>
      <c r="DD329" s="753"/>
      <c r="DE329" s="753"/>
      <c r="DF329" s="753"/>
      <c r="DG329" s="753"/>
    </row>
    <row r="330" spans="87:111">
      <c r="CI330" s="753"/>
      <c r="CJ330" s="753"/>
      <c r="CK330" s="753"/>
      <c r="CL330" s="753"/>
      <c r="CM330" s="753"/>
      <c r="CN330" s="753"/>
      <c r="CO330" s="753"/>
      <c r="CP330" s="753"/>
      <c r="CQ330" s="753"/>
      <c r="CR330" s="753"/>
      <c r="CS330" s="753"/>
      <c r="CT330" s="753"/>
      <c r="CU330" s="753"/>
      <c r="CV330" s="753"/>
      <c r="CW330" s="753"/>
      <c r="CX330" s="753"/>
      <c r="CY330" s="753"/>
      <c r="CZ330" s="753"/>
      <c r="DA330" s="753"/>
      <c r="DB330" s="753"/>
      <c r="DC330" s="753"/>
      <c r="DD330" s="753"/>
      <c r="DE330" s="753"/>
      <c r="DF330" s="753"/>
      <c r="DG330" s="753"/>
    </row>
    <row r="331" spans="87:111">
      <c r="CI331" s="753"/>
      <c r="CJ331" s="753"/>
      <c r="CK331" s="753"/>
      <c r="CL331" s="753"/>
      <c r="CM331" s="753"/>
      <c r="CN331" s="753"/>
      <c r="CO331" s="753"/>
      <c r="CP331" s="753"/>
      <c r="CQ331" s="753"/>
      <c r="CR331" s="753"/>
      <c r="CS331" s="753"/>
      <c r="CT331" s="753"/>
      <c r="CU331" s="753"/>
      <c r="CV331" s="753"/>
      <c r="CW331" s="753"/>
      <c r="CX331" s="753"/>
      <c r="CY331" s="753"/>
      <c r="CZ331" s="753"/>
      <c r="DA331" s="753"/>
      <c r="DB331" s="753"/>
      <c r="DC331" s="753"/>
      <c r="DD331" s="753"/>
      <c r="DE331" s="753"/>
      <c r="DF331" s="753"/>
      <c r="DG331" s="753"/>
    </row>
    <row r="332" spans="87:111">
      <c r="CI332" s="753"/>
      <c r="CJ332" s="753"/>
      <c r="CK332" s="753"/>
      <c r="CL332" s="753"/>
      <c r="CM332" s="753"/>
      <c r="CN332" s="753"/>
      <c r="CO332" s="753"/>
      <c r="CP332" s="753"/>
      <c r="CQ332" s="753"/>
      <c r="CR332" s="753"/>
      <c r="CS332" s="753"/>
      <c r="CT332" s="753"/>
      <c r="CU332" s="753"/>
      <c r="CV332" s="753"/>
      <c r="CW332" s="753"/>
      <c r="CX332" s="753"/>
      <c r="CY332" s="753"/>
      <c r="CZ332" s="753"/>
      <c r="DA332" s="753"/>
      <c r="DB332" s="753"/>
      <c r="DC332" s="753"/>
      <c r="DD332" s="753"/>
      <c r="DE332" s="753"/>
      <c r="DF332" s="753"/>
      <c r="DG332" s="753"/>
    </row>
    <row r="333" spans="87:111">
      <c r="CI333" s="753"/>
      <c r="CJ333" s="753"/>
      <c r="CK333" s="753"/>
      <c r="CL333" s="753"/>
      <c r="CM333" s="753"/>
      <c r="CN333" s="753"/>
      <c r="CO333" s="753"/>
      <c r="CP333" s="753"/>
      <c r="CQ333" s="753"/>
      <c r="CR333" s="753"/>
      <c r="CS333" s="753"/>
      <c r="CT333" s="753"/>
      <c r="CU333" s="753"/>
      <c r="CV333" s="753"/>
      <c r="CW333" s="753"/>
      <c r="CX333" s="753"/>
      <c r="CY333" s="753"/>
      <c r="CZ333" s="753"/>
      <c r="DA333" s="753"/>
      <c r="DB333" s="753"/>
      <c r="DC333" s="753"/>
      <c r="DD333" s="753"/>
      <c r="DE333" s="753"/>
      <c r="DF333" s="753"/>
      <c r="DG333" s="753"/>
    </row>
    <row r="334" spans="87:111">
      <c r="CI334" s="753"/>
      <c r="CJ334" s="753"/>
      <c r="CK334" s="753"/>
      <c r="CL334" s="753"/>
      <c r="CM334" s="753"/>
      <c r="CN334" s="753"/>
      <c r="CO334" s="753"/>
      <c r="CP334" s="753"/>
      <c r="CQ334" s="753"/>
      <c r="CR334" s="753"/>
      <c r="CS334" s="753"/>
      <c r="CT334" s="753"/>
      <c r="CU334" s="753"/>
      <c r="CV334" s="753"/>
      <c r="CW334" s="753"/>
      <c r="CX334" s="753"/>
      <c r="CY334" s="753"/>
      <c r="CZ334" s="753"/>
      <c r="DA334" s="753"/>
      <c r="DB334" s="753"/>
      <c r="DC334" s="753"/>
      <c r="DD334" s="753"/>
      <c r="DE334" s="753"/>
      <c r="DF334" s="753"/>
      <c r="DG334" s="753"/>
    </row>
    <row r="335" spans="87:111">
      <c r="CI335" s="753"/>
      <c r="CJ335" s="753"/>
      <c r="CK335" s="753"/>
      <c r="CL335" s="753"/>
      <c r="CM335" s="753"/>
      <c r="CN335" s="753"/>
      <c r="CO335" s="753"/>
      <c r="CP335" s="753"/>
      <c r="CQ335" s="753"/>
      <c r="CR335" s="753"/>
      <c r="CS335" s="753"/>
      <c r="CT335" s="753"/>
      <c r="CU335" s="753"/>
      <c r="CV335" s="753"/>
      <c r="CW335" s="753"/>
      <c r="CX335" s="753"/>
      <c r="CY335" s="753"/>
      <c r="CZ335" s="753"/>
      <c r="DA335" s="753"/>
      <c r="DB335" s="753"/>
      <c r="DC335" s="753"/>
      <c r="DD335" s="753"/>
      <c r="DE335" s="753"/>
      <c r="DF335" s="753"/>
      <c r="DG335" s="753"/>
    </row>
    <row r="336" spans="87:111">
      <c r="CI336" s="753"/>
      <c r="CJ336" s="753"/>
      <c r="CK336" s="753"/>
      <c r="CL336" s="753"/>
      <c r="CM336" s="753"/>
      <c r="CN336" s="753"/>
      <c r="CO336" s="753"/>
      <c r="CP336" s="753"/>
      <c r="CQ336" s="753"/>
      <c r="CR336" s="753"/>
      <c r="CS336" s="753"/>
      <c r="CT336" s="753"/>
      <c r="CU336" s="753"/>
      <c r="CV336" s="753"/>
      <c r="CW336" s="753"/>
      <c r="CX336" s="753"/>
      <c r="CY336" s="753"/>
      <c r="CZ336" s="753"/>
      <c r="DA336" s="753"/>
      <c r="DB336" s="753"/>
      <c r="DC336" s="753"/>
      <c r="DD336" s="753"/>
      <c r="DE336" s="753"/>
      <c r="DF336" s="753"/>
      <c r="DG336" s="753"/>
    </row>
    <row r="337" spans="87:111">
      <c r="CI337" s="753"/>
      <c r="CJ337" s="753"/>
      <c r="CK337" s="753"/>
      <c r="CL337" s="753"/>
      <c r="CM337" s="753"/>
      <c r="CN337" s="753"/>
      <c r="CO337" s="753"/>
      <c r="CP337" s="753"/>
      <c r="CQ337" s="753"/>
      <c r="CR337" s="753"/>
      <c r="CS337" s="753"/>
      <c r="CT337" s="753"/>
      <c r="CU337" s="753"/>
      <c r="CV337" s="753"/>
      <c r="CW337" s="753"/>
      <c r="CX337" s="753"/>
      <c r="CY337" s="753"/>
      <c r="CZ337" s="753"/>
      <c r="DA337" s="753"/>
      <c r="DB337" s="753"/>
      <c r="DC337" s="753"/>
      <c r="DD337" s="753"/>
      <c r="DE337" s="753"/>
      <c r="DF337" s="753"/>
      <c r="DG337" s="753"/>
    </row>
    <row r="338" spans="87:111">
      <c r="CI338" s="753"/>
      <c r="CJ338" s="753"/>
      <c r="CK338" s="753"/>
      <c r="CL338" s="753"/>
      <c r="CM338" s="753"/>
      <c r="CN338" s="753"/>
      <c r="CO338" s="753"/>
      <c r="CP338" s="753"/>
      <c r="CQ338" s="753"/>
      <c r="CR338" s="753"/>
      <c r="CS338" s="753"/>
      <c r="CT338" s="753"/>
      <c r="CU338" s="753"/>
      <c r="CV338" s="753"/>
      <c r="CW338" s="753"/>
      <c r="CX338" s="753"/>
      <c r="CY338" s="753"/>
      <c r="CZ338" s="753"/>
      <c r="DA338" s="753"/>
      <c r="DB338" s="753"/>
      <c r="DC338" s="753"/>
      <c r="DD338" s="753"/>
      <c r="DE338" s="753"/>
      <c r="DF338" s="753"/>
      <c r="DG338" s="753"/>
    </row>
    <row r="339" spans="87:111">
      <c r="CI339" s="753"/>
      <c r="CJ339" s="753"/>
      <c r="CK339" s="753"/>
      <c r="CL339" s="753"/>
      <c r="CM339" s="753"/>
      <c r="CN339" s="753"/>
      <c r="CO339" s="753"/>
      <c r="CP339" s="753"/>
      <c r="CQ339" s="753"/>
      <c r="CR339" s="753"/>
      <c r="CS339" s="753"/>
      <c r="CT339" s="753"/>
      <c r="CU339" s="753"/>
      <c r="CV339" s="753"/>
      <c r="CW339" s="753"/>
      <c r="CX339" s="753"/>
      <c r="CY339" s="753"/>
      <c r="CZ339" s="753"/>
      <c r="DA339" s="753"/>
      <c r="DB339" s="753"/>
      <c r="DC339" s="753"/>
      <c r="DD339" s="753"/>
      <c r="DE339" s="753"/>
      <c r="DF339" s="753"/>
      <c r="DG339" s="753"/>
    </row>
    <row r="340" spans="87:111">
      <c r="CI340" s="753"/>
      <c r="CJ340" s="753"/>
      <c r="CK340" s="753"/>
      <c r="CL340" s="753"/>
      <c r="CM340" s="753"/>
      <c r="CN340" s="753"/>
      <c r="CO340" s="753"/>
      <c r="CP340" s="753"/>
      <c r="CQ340" s="753"/>
      <c r="CR340" s="753"/>
      <c r="CS340" s="753"/>
      <c r="CT340" s="753"/>
      <c r="CU340" s="753"/>
      <c r="CV340" s="753"/>
      <c r="CW340" s="753"/>
      <c r="CX340" s="753"/>
      <c r="CY340" s="753"/>
      <c r="CZ340" s="753"/>
      <c r="DA340" s="753"/>
      <c r="DB340" s="753"/>
      <c r="DC340" s="753"/>
      <c r="DD340" s="753"/>
      <c r="DE340" s="753"/>
      <c r="DF340" s="753"/>
      <c r="DG340" s="753"/>
    </row>
    <row r="341" spans="87:111">
      <c r="CI341" s="753"/>
      <c r="CJ341" s="753"/>
      <c r="CK341" s="753"/>
      <c r="CL341" s="753"/>
      <c r="CM341" s="753"/>
      <c r="CN341" s="753"/>
      <c r="CO341" s="753"/>
      <c r="CP341" s="753"/>
      <c r="CQ341" s="753"/>
      <c r="CR341" s="753"/>
      <c r="CS341" s="753"/>
      <c r="CT341" s="753"/>
      <c r="CU341" s="753"/>
      <c r="CV341" s="753"/>
      <c r="CW341" s="753"/>
      <c r="CX341" s="753"/>
      <c r="CY341" s="753"/>
      <c r="CZ341" s="753"/>
      <c r="DA341" s="753"/>
      <c r="DB341" s="753"/>
      <c r="DC341" s="753"/>
      <c r="DD341" s="753"/>
      <c r="DE341" s="753"/>
      <c r="DF341" s="753"/>
      <c r="DG341" s="753"/>
    </row>
    <row r="342" spans="87:111">
      <c r="CI342" s="753"/>
      <c r="CJ342" s="753"/>
      <c r="CK342" s="753"/>
      <c r="CL342" s="753"/>
      <c r="CM342" s="753"/>
      <c r="CN342" s="753"/>
      <c r="CO342" s="753"/>
      <c r="CP342" s="753"/>
      <c r="CQ342" s="753"/>
      <c r="CR342" s="753"/>
      <c r="CS342" s="753"/>
      <c r="CT342" s="753"/>
      <c r="CU342" s="753"/>
      <c r="CV342" s="753"/>
      <c r="CW342" s="753"/>
      <c r="CX342" s="753"/>
      <c r="CY342" s="753"/>
      <c r="CZ342" s="753"/>
      <c r="DA342" s="753"/>
      <c r="DB342" s="753"/>
      <c r="DC342" s="753"/>
      <c r="DD342" s="753"/>
      <c r="DE342" s="753"/>
      <c r="DF342" s="753"/>
      <c r="DG342" s="753"/>
    </row>
    <row r="343" spans="87:111">
      <c r="CI343" s="753"/>
      <c r="CJ343" s="753"/>
      <c r="CK343" s="753"/>
      <c r="CL343" s="753"/>
      <c r="CM343" s="753"/>
      <c r="CN343" s="753"/>
      <c r="CO343" s="753"/>
      <c r="CP343" s="753"/>
      <c r="CQ343" s="753"/>
      <c r="CR343" s="753"/>
      <c r="CS343" s="753"/>
      <c r="CT343" s="753"/>
      <c r="CU343" s="753"/>
      <c r="CV343" s="753"/>
      <c r="CW343" s="753"/>
      <c r="CX343" s="753"/>
      <c r="CY343" s="753"/>
      <c r="CZ343" s="753"/>
      <c r="DA343" s="753"/>
      <c r="DB343" s="753"/>
      <c r="DC343" s="753"/>
      <c r="DD343" s="753"/>
      <c r="DE343" s="753"/>
      <c r="DF343" s="753"/>
      <c r="DG343" s="753"/>
    </row>
    <row r="344" spans="87:111">
      <c r="CI344" s="753"/>
      <c r="CJ344" s="753"/>
      <c r="CK344" s="753"/>
      <c r="CL344" s="753"/>
      <c r="CM344" s="753"/>
      <c r="CN344" s="753"/>
      <c r="CO344" s="753"/>
      <c r="CP344" s="753"/>
      <c r="CQ344" s="753"/>
      <c r="CR344" s="753"/>
      <c r="CS344" s="753"/>
      <c r="CT344" s="753"/>
      <c r="CU344" s="753"/>
      <c r="CV344" s="753"/>
      <c r="CW344" s="753"/>
      <c r="CX344" s="753"/>
      <c r="CY344" s="753"/>
      <c r="CZ344" s="753"/>
      <c r="DA344" s="753"/>
      <c r="DB344" s="753"/>
      <c r="DC344" s="753"/>
      <c r="DD344" s="753"/>
      <c r="DE344" s="753"/>
      <c r="DF344" s="753"/>
      <c r="DG344" s="753"/>
    </row>
    <row r="345" spans="87:111">
      <c r="CI345" s="753"/>
      <c r="CJ345" s="753"/>
      <c r="CK345" s="753"/>
      <c r="CL345" s="753"/>
      <c r="CM345" s="753"/>
      <c r="CN345" s="753"/>
      <c r="CO345" s="753"/>
      <c r="CP345" s="753"/>
      <c r="CQ345" s="753"/>
      <c r="CR345" s="753"/>
      <c r="CS345" s="753"/>
      <c r="CT345" s="753"/>
      <c r="CU345" s="753"/>
      <c r="CV345" s="753"/>
      <c r="CW345" s="753"/>
      <c r="CX345" s="753"/>
      <c r="CY345" s="753"/>
      <c r="CZ345" s="753"/>
      <c r="DA345" s="753"/>
      <c r="DB345" s="753"/>
      <c r="DC345" s="753"/>
      <c r="DD345" s="753"/>
      <c r="DE345" s="753"/>
      <c r="DF345" s="753"/>
      <c r="DG345" s="753"/>
    </row>
    <row r="346" spans="87:111">
      <c r="CI346" s="753"/>
      <c r="CJ346" s="753"/>
      <c r="CK346" s="753"/>
      <c r="CL346" s="753"/>
      <c r="CM346" s="753"/>
      <c r="CN346" s="753"/>
      <c r="CO346" s="753"/>
      <c r="CP346" s="753"/>
      <c r="CQ346" s="753"/>
      <c r="CR346" s="753"/>
      <c r="CS346" s="753"/>
      <c r="CT346" s="753"/>
      <c r="CU346" s="753"/>
      <c r="CV346" s="753"/>
      <c r="CW346" s="753"/>
      <c r="CX346" s="753"/>
      <c r="CY346" s="753"/>
      <c r="CZ346" s="753"/>
      <c r="DA346" s="753"/>
      <c r="DB346" s="753"/>
      <c r="DC346" s="753"/>
      <c r="DD346" s="753"/>
      <c r="DE346" s="753"/>
      <c r="DF346" s="753"/>
      <c r="DG346" s="753"/>
    </row>
    <row r="347" spans="87:111">
      <c r="CI347" s="753"/>
      <c r="CJ347" s="753"/>
      <c r="CK347" s="753"/>
      <c r="CL347" s="753"/>
      <c r="CM347" s="753"/>
      <c r="CN347" s="753"/>
      <c r="CO347" s="753"/>
      <c r="CP347" s="753"/>
      <c r="CQ347" s="753"/>
      <c r="CR347" s="753"/>
      <c r="CS347" s="753"/>
      <c r="CT347" s="753"/>
      <c r="CU347" s="753"/>
      <c r="CV347" s="753"/>
      <c r="CW347" s="753"/>
      <c r="CX347" s="753"/>
      <c r="CY347" s="753"/>
      <c r="CZ347" s="753"/>
      <c r="DA347" s="753"/>
      <c r="DB347" s="753"/>
      <c r="DC347" s="753"/>
      <c r="DD347" s="753"/>
      <c r="DE347" s="753"/>
      <c r="DF347" s="753"/>
      <c r="DG347" s="753"/>
    </row>
    <row r="348" spans="87:111">
      <c r="CI348" s="753"/>
      <c r="CJ348" s="753"/>
      <c r="CK348" s="753"/>
      <c r="CL348" s="753"/>
      <c r="CM348" s="753"/>
      <c r="CN348" s="753"/>
      <c r="CO348" s="753"/>
      <c r="CP348" s="753"/>
      <c r="CQ348" s="753"/>
      <c r="CR348" s="753"/>
      <c r="CS348" s="753"/>
      <c r="CT348" s="753"/>
      <c r="CU348" s="753"/>
      <c r="CV348" s="753"/>
      <c r="CW348" s="753"/>
      <c r="CX348" s="753"/>
      <c r="CY348" s="753"/>
      <c r="CZ348" s="753"/>
      <c r="DA348" s="753"/>
      <c r="DB348" s="753"/>
      <c r="DC348" s="753"/>
      <c r="DD348" s="753"/>
      <c r="DE348" s="753"/>
      <c r="DF348" s="753"/>
      <c r="DG348" s="753"/>
    </row>
    <row r="349" spans="87:111">
      <c r="CI349" s="753"/>
      <c r="CJ349" s="753"/>
      <c r="CK349" s="753"/>
      <c r="CL349" s="753"/>
      <c r="CM349" s="753"/>
      <c r="CN349" s="753"/>
      <c r="CO349" s="753"/>
      <c r="CP349" s="753"/>
      <c r="CQ349" s="753"/>
      <c r="CR349" s="753"/>
      <c r="CS349" s="753"/>
      <c r="CT349" s="753"/>
      <c r="CU349" s="753"/>
      <c r="CV349" s="753"/>
      <c r="CW349" s="753"/>
      <c r="CX349" s="753"/>
      <c r="CY349" s="753"/>
      <c r="CZ349" s="753"/>
      <c r="DA349" s="753"/>
      <c r="DB349" s="753"/>
      <c r="DC349" s="753"/>
      <c r="DD349" s="753"/>
      <c r="DE349" s="753"/>
      <c r="DF349" s="753"/>
      <c r="DG349" s="753"/>
    </row>
    <row r="350" spans="87:111">
      <c r="CI350" s="753"/>
      <c r="CJ350" s="753"/>
      <c r="CK350" s="753"/>
      <c r="CL350" s="753"/>
      <c r="CM350" s="753"/>
      <c r="CN350" s="753"/>
      <c r="CO350" s="753"/>
      <c r="CP350" s="753"/>
      <c r="CQ350" s="753"/>
      <c r="CR350" s="753"/>
      <c r="CS350" s="753"/>
      <c r="CT350" s="753"/>
      <c r="CU350" s="753"/>
      <c r="CV350" s="753"/>
      <c r="CW350" s="753"/>
      <c r="CX350" s="753"/>
      <c r="CY350" s="753"/>
      <c r="CZ350" s="753"/>
      <c r="DA350" s="753"/>
      <c r="DB350" s="753"/>
      <c r="DC350" s="753"/>
      <c r="DD350" s="753"/>
      <c r="DE350" s="753"/>
      <c r="DF350" s="753"/>
      <c r="DG350" s="753"/>
    </row>
    <row r="351" spans="87:111">
      <c r="CI351" s="753"/>
      <c r="CJ351" s="753"/>
      <c r="CK351" s="753"/>
      <c r="CL351" s="753"/>
      <c r="CM351" s="753"/>
      <c r="CN351" s="753"/>
      <c r="CO351" s="753"/>
      <c r="CP351" s="753"/>
      <c r="CQ351" s="753"/>
      <c r="CR351" s="753"/>
      <c r="CS351" s="753"/>
      <c r="CT351" s="753"/>
      <c r="CU351" s="753"/>
      <c r="CV351" s="753"/>
      <c r="CW351" s="753"/>
      <c r="CX351" s="753"/>
      <c r="CY351" s="753"/>
      <c r="CZ351" s="753"/>
      <c r="DA351" s="753"/>
      <c r="DB351" s="753"/>
      <c r="DC351" s="753"/>
      <c r="DD351" s="753"/>
      <c r="DE351" s="753"/>
      <c r="DF351" s="753"/>
      <c r="DG351" s="753"/>
    </row>
    <row r="352" spans="87:111">
      <c r="CI352" s="753"/>
      <c r="CJ352" s="753"/>
      <c r="CK352" s="753"/>
      <c r="CL352" s="753"/>
      <c r="CM352" s="753"/>
      <c r="CN352" s="753"/>
      <c r="CO352" s="753"/>
      <c r="CP352" s="753"/>
      <c r="CQ352" s="753"/>
      <c r="CR352" s="753"/>
      <c r="CS352" s="753"/>
      <c r="CT352" s="753"/>
      <c r="CU352" s="753"/>
      <c r="CV352" s="753"/>
      <c r="CW352" s="753"/>
      <c r="CX352" s="753"/>
      <c r="CY352" s="753"/>
      <c r="CZ352" s="753"/>
      <c r="DA352" s="753"/>
      <c r="DB352" s="753"/>
      <c r="DC352" s="753"/>
      <c r="DD352" s="753"/>
      <c r="DE352" s="753"/>
      <c r="DF352" s="753"/>
      <c r="DG352" s="753"/>
    </row>
    <row r="353" spans="87:111">
      <c r="CI353" s="753"/>
      <c r="CJ353" s="753"/>
      <c r="CK353" s="753"/>
      <c r="CL353" s="753"/>
      <c r="CM353" s="753"/>
      <c r="CN353" s="753"/>
      <c r="CO353" s="753"/>
      <c r="CP353" s="753"/>
      <c r="CQ353" s="753"/>
      <c r="CR353" s="753"/>
      <c r="CS353" s="753"/>
      <c r="CT353" s="753"/>
      <c r="CU353" s="753"/>
      <c r="CV353" s="753"/>
      <c r="CW353" s="753"/>
      <c r="CX353" s="753"/>
      <c r="CY353" s="753"/>
      <c r="CZ353" s="753"/>
      <c r="DA353" s="753"/>
      <c r="DB353" s="753"/>
      <c r="DC353" s="753"/>
      <c r="DD353" s="753"/>
      <c r="DE353" s="753"/>
      <c r="DF353" s="753"/>
      <c r="DG353" s="753"/>
    </row>
    <row r="354" spans="87:111">
      <c r="CI354" s="753"/>
      <c r="CJ354" s="753"/>
      <c r="CK354" s="753"/>
      <c r="CL354" s="753"/>
      <c r="CM354" s="753"/>
      <c r="CN354" s="753"/>
      <c r="CO354" s="753"/>
      <c r="CP354" s="753"/>
      <c r="CQ354" s="753"/>
      <c r="CR354" s="753"/>
      <c r="CS354" s="753"/>
      <c r="CT354" s="753"/>
      <c r="CU354" s="753"/>
      <c r="CV354" s="753"/>
      <c r="CW354" s="753"/>
      <c r="CX354" s="753"/>
      <c r="CY354" s="753"/>
      <c r="CZ354" s="753"/>
      <c r="DA354" s="753"/>
      <c r="DB354" s="753"/>
      <c r="DC354" s="753"/>
      <c r="DD354" s="753"/>
      <c r="DE354" s="753"/>
      <c r="DF354" s="753"/>
      <c r="DG354" s="753"/>
    </row>
    <row r="355" spans="87:111">
      <c r="CI355" s="753"/>
      <c r="CJ355" s="753"/>
      <c r="CK355" s="753"/>
      <c r="CL355" s="753"/>
      <c r="CM355" s="753"/>
      <c r="CN355" s="753"/>
      <c r="CO355" s="753"/>
      <c r="CP355" s="753"/>
      <c r="CQ355" s="753"/>
      <c r="CR355" s="753"/>
      <c r="CS355" s="753"/>
      <c r="CT355" s="753"/>
      <c r="CU355" s="753"/>
      <c r="CV355" s="753"/>
      <c r="CW355" s="753"/>
      <c r="CX355" s="753"/>
      <c r="CY355" s="753"/>
      <c r="CZ355" s="753"/>
      <c r="DA355" s="753"/>
      <c r="DB355" s="753"/>
      <c r="DC355" s="753"/>
      <c r="DD355" s="753"/>
      <c r="DE355" s="753"/>
      <c r="DF355" s="753"/>
      <c r="DG355" s="753"/>
    </row>
    <row r="356" spans="87:111">
      <c r="CI356" s="753"/>
      <c r="CJ356" s="753"/>
      <c r="CK356" s="753"/>
      <c r="CL356" s="753"/>
      <c r="CM356" s="753"/>
      <c r="CN356" s="753"/>
      <c r="CO356" s="753"/>
      <c r="CP356" s="753"/>
      <c r="CQ356" s="753"/>
      <c r="CR356" s="753"/>
      <c r="CS356" s="753"/>
      <c r="CT356" s="753"/>
      <c r="CU356" s="753"/>
      <c r="CV356" s="753"/>
      <c r="CW356" s="753"/>
      <c r="CX356" s="753"/>
      <c r="CY356" s="753"/>
      <c r="CZ356" s="753"/>
      <c r="DA356" s="753"/>
      <c r="DB356" s="753"/>
      <c r="DC356" s="753"/>
      <c r="DD356" s="753"/>
      <c r="DE356" s="753"/>
      <c r="DF356" s="753"/>
      <c r="DG356" s="753"/>
    </row>
    <row r="357" spans="87:111">
      <c r="CI357" s="753"/>
      <c r="CJ357" s="753"/>
      <c r="CK357" s="753"/>
      <c r="CL357" s="753"/>
      <c r="CM357" s="753"/>
      <c r="CN357" s="753"/>
      <c r="CO357" s="753"/>
      <c r="CP357" s="753"/>
      <c r="CQ357" s="753"/>
      <c r="CR357" s="753"/>
      <c r="CS357" s="753"/>
      <c r="CT357" s="753"/>
      <c r="CU357" s="753"/>
      <c r="CV357" s="753"/>
      <c r="CW357" s="753"/>
      <c r="CX357" s="753"/>
      <c r="CY357" s="753"/>
      <c r="CZ357" s="753"/>
      <c r="DA357" s="753"/>
      <c r="DB357" s="753"/>
      <c r="DC357" s="753"/>
      <c r="DD357" s="753"/>
      <c r="DE357" s="753"/>
      <c r="DF357" s="753"/>
      <c r="DG357" s="753"/>
    </row>
    <row r="358" spans="87:111">
      <c r="CI358" s="753"/>
      <c r="CJ358" s="753"/>
      <c r="CK358" s="753"/>
      <c r="CL358" s="753"/>
      <c r="CM358" s="753"/>
      <c r="CN358" s="753"/>
      <c r="CO358" s="753"/>
      <c r="CP358" s="753"/>
      <c r="CQ358" s="753"/>
      <c r="CR358" s="753"/>
      <c r="CS358" s="753"/>
      <c r="CT358" s="753"/>
      <c r="CU358" s="753"/>
      <c r="CV358" s="753"/>
      <c r="CW358" s="753"/>
      <c r="CX358" s="753"/>
      <c r="CY358" s="753"/>
      <c r="CZ358" s="753"/>
      <c r="DA358" s="753"/>
      <c r="DB358" s="753"/>
      <c r="DC358" s="753"/>
      <c r="DD358" s="753"/>
      <c r="DE358" s="753"/>
      <c r="DF358" s="753"/>
      <c r="DG358" s="753"/>
    </row>
    <row r="359" spans="87:111">
      <c r="CI359" s="753"/>
      <c r="CJ359" s="753"/>
      <c r="CK359" s="753"/>
      <c r="CL359" s="753"/>
      <c r="CM359" s="753"/>
      <c r="CN359" s="753"/>
      <c r="CO359" s="753"/>
      <c r="CP359" s="753"/>
      <c r="CQ359" s="753"/>
      <c r="CR359" s="753"/>
      <c r="CS359" s="753"/>
      <c r="CT359" s="753"/>
      <c r="CU359" s="753"/>
      <c r="CV359" s="753"/>
      <c r="CW359" s="753"/>
      <c r="CX359" s="753"/>
      <c r="CY359" s="753"/>
      <c r="CZ359" s="753"/>
      <c r="DA359" s="753"/>
      <c r="DB359" s="753"/>
      <c r="DC359" s="753"/>
      <c r="DD359" s="753"/>
      <c r="DE359" s="753"/>
      <c r="DF359" s="753"/>
      <c r="DG359" s="753"/>
    </row>
    <row r="360" spans="87:111">
      <c r="CI360" s="753"/>
      <c r="CJ360" s="753"/>
      <c r="CK360" s="753"/>
      <c r="CL360" s="753"/>
      <c r="CM360" s="753"/>
      <c r="CN360" s="753"/>
      <c r="CO360" s="753"/>
      <c r="CP360" s="753"/>
      <c r="CQ360" s="753"/>
      <c r="CR360" s="753"/>
      <c r="CS360" s="753"/>
      <c r="CT360" s="753"/>
      <c r="CU360" s="753"/>
      <c r="CV360" s="753"/>
      <c r="CW360" s="753"/>
      <c r="CX360" s="753"/>
      <c r="CY360" s="753"/>
      <c r="CZ360" s="753"/>
      <c r="DA360" s="753"/>
      <c r="DB360" s="753"/>
      <c r="DC360" s="753"/>
      <c r="DD360" s="753"/>
      <c r="DE360" s="753"/>
      <c r="DF360" s="753"/>
      <c r="DG360" s="753"/>
    </row>
    <row r="361" spans="87:111">
      <c r="CI361" s="753"/>
      <c r="CJ361" s="753"/>
      <c r="CK361" s="753"/>
      <c r="CL361" s="753"/>
      <c r="CM361" s="753"/>
      <c r="CN361" s="753"/>
      <c r="CO361" s="753"/>
      <c r="CP361" s="753"/>
      <c r="CQ361" s="753"/>
      <c r="CR361" s="753"/>
      <c r="CS361" s="753"/>
      <c r="CT361" s="753"/>
      <c r="CU361" s="753"/>
      <c r="CV361" s="753"/>
      <c r="CW361" s="753"/>
      <c r="CX361" s="753"/>
      <c r="CY361" s="753"/>
      <c r="CZ361" s="753"/>
      <c r="DA361" s="753"/>
      <c r="DB361" s="753"/>
      <c r="DC361" s="753"/>
      <c r="DD361" s="753"/>
      <c r="DE361" s="753"/>
      <c r="DF361" s="753"/>
      <c r="DG361" s="753"/>
    </row>
    <row r="362" spans="87:111">
      <c r="CI362" s="753"/>
      <c r="CJ362" s="753"/>
      <c r="CK362" s="753"/>
      <c r="CL362" s="753"/>
      <c r="CM362" s="753"/>
      <c r="CN362" s="753"/>
      <c r="CO362" s="753"/>
      <c r="CP362" s="753"/>
      <c r="CQ362" s="753"/>
      <c r="CR362" s="753"/>
      <c r="CS362" s="753"/>
      <c r="CT362" s="753"/>
      <c r="CU362" s="753"/>
      <c r="CV362" s="753"/>
      <c r="CW362" s="753"/>
      <c r="CX362" s="753"/>
      <c r="CY362" s="753"/>
      <c r="CZ362" s="753"/>
      <c r="DA362" s="753"/>
      <c r="DB362" s="753"/>
      <c r="DC362" s="753"/>
      <c r="DD362" s="753"/>
      <c r="DE362" s="753"/>
      <c r="DF362" s="753"/>
      <c r="DG362" s="753"/>
    </row>
    <row r="363" spans="87:111">
      <c r="CI363" s="753"/>
      <c r="CJ363" s="753"/>
      <c r="CK363" s="753"/>
      <c r="CL363" s="753"/>
      <c r="CM363" s="753"/>
      <c r="CN363" s="753"/>
      <c r="CO363" s="753"/>
      <c r="CP363" s="753"/>
      <c r="CQ363" s="753"/>
      <c r="CR363" s="753"/>
      <c r="CS363" s="753"/>
      <c r="CT363" s="753"/>
      <c r="CU363" s="753"/>
      <c r="CV363" s="753"/>
      <c r="CW363" s="753"/>
      <c r="CX363" s="753"/>
      <c r="CY363" s="753"/>
      <c r="CZ363" s="753"/>
      <c r="DA363" s="753"/>
      <c r="DB363" s="753"/>
      <c r="DC363" s="753"/>
      <c r="DD363" s="753"/>
      <c r="DE363" s="753"/>
      <c r="DF363" s="753"/>
      <c r="DG363" s="753"/>
    </row>
    <row r="364" spans="87:111">
      <c r="CI364" s="753"/>
      <c r="CJ364" s="753"/>
      <c r="CK364" s="753"/>
      <c r="CL364" s="753"/>
      <c r="CM364" s="753"/>
      <c r="CN364" s="753"/>
      <c r="CO364" s="753"/>
      <c r="CP364" s="753"/>
      <c r="CQ364" s="753"/>
      <c r="CR364" s="753"/>
      <c r="CS364" s="753"/>
      <c r="CT364" s="753"/>
      <c r="CU364" s="753"/>
      <c r="CV364" s="753"/>
      <c r="CW364" s="753"/>
      <c r="CX364" s="753"/>
      <c r="CY364" s="753"/>
      <c r="CZ364" s="753"/>
      <c r="DA364" s="753"/>
      <c r="DB364" s="753"/>
      <c r="DC364" s="753"/>
      <c r="DD364" s="753"/>
      <c r="DE364" s="753"/>
      <c r="DF364" s="753"/>
      <c r="DG364" s="753"/>
    </row>
    <row r="365" spans="87:111">
      <c r="CI365" s="753"/>
      <c r="CJ365" s="753"/>
      <c r="CK365" s="753"/>
      <c r="CL365" s="753"/>
      <c r="CM365" s="753"/>
      <c r="CN365" s="753"/>
      <c r="CO365" s="753"/>
      <c r="CP365" s="753"/>
      <c r="CQ365" s="753"/>
      <c r="CR365" s="753"/>
      <c r="CS365" s="753"/>
      <c r="CT365" s="753"/>
      <c r="CU365" s="753"/>
      <c r="CV365" s="753"/>
      <c r="CW365" s="753"/>
      <c r="CX365" s="753"/>
      <c r="CY365" s="753"/>
      <c r="CZ365" s="753"/>
      <c r="DA365" s="753"/>
      <c r="DB365" s="753"/>
      <c r="DC365" s="753"/>
      <c r="DD365" s="753"/>
      <c r="DE365" s="753"/>
      <c r="DF365" s="753"/>
      <c r="DG365" s="753"/>
    </row>
    <row r="366" spans="87:111">
      <c r="CI366" s="753"/>
      <c r="CJ366" s="753"/>
      <c r="CK366" s="753"/>
      <c r="CL366" s="753"/>
      <c r="CM366" s="753"/>
      <c r="CN366" s="753"/>
      <c r="CO366" s="753"/>
      <c r="CP366" s="753"/>
      <c r="CQ366" s="753"/>
      <c r="CR366" s="753"/>
      <c r="CS366" s="753"/>
      <c r="CT366" s="753"/>
      <c r="CU366" s="753"/>
      <c r="CV366" s="753"/>
      <c r="CW366" s="753"/>
      <c r="CX366" s="753"/>
      <c r="CY366" s="753"/>
      <c r="CZ366" s="753"/>
      <c r="DA366" s="753"/>
      <c r="DB366" s="753"/>
      <c r="DC366" s="753"/>
      <c r="DD366" s="753"/>
      <c r="DE366" s="753"/>
      <c r="DF366" s="753"/>
      <c r="DG366" s="753"/>
    </row>
    <row r="367" spans="87:111">
      <c r="CI367" s="753"/>
      <c r="CJ367" s="753"/>
      <c r="CK367" s="753"/>
      <c r="CL367" s="753"/>
      <c r="CM367" s="753"/>
      <c r="CN367" s="753"/>
      <c r="CO367" s="753"/>
      <c r="CP367" s="753"/>
      <c r="CQ367" s="753"/>
      <c r="CR367" s="753"/>
      <c r="CS367" s="753"/>
      <c r="CT367" s="753"/>
      <c r="CU367" s="753"/>
      <c r="CV367" s="753"/>
      <c r="CW367" s="753"/>
      <c r="CX367" s="753"/>
      <c r="CY367" s="753"/>
      <c r="CZ367" s="753"/>
      <c r="DA367" s="753"/>
      <c r="DB367" s="753"/>
      <c r="DC367" s="753"/>
      <c r="DD367" s="753"/>
      <c r="DE367" s="753"/>
      <c r="DF367" s="753"/>
      <c r="DG367" s="753"/>
    </row>
    <row r="368" spans="87:111">
      <c r="CI368" s="753"/>
      <c r="CJ368" s="753"/>
      <c r="CK368" s="753"/>
      <c r="CL368" s="753"/>
      <c r="CM368" s="753"/>
      <c r="CN368" s="753"/>
      <c r="CO368" s="753"/>
      <c r="CP368" s="753"/>
      <c r="CQ368" s="753"/>
      <c r="CR368" s="753"/>
      <c r="CS368" s="753"/>
      <c r="CT368" s="753"/>
      <c r="CU368" s="753"/>
      <c r="CV368" s="753"/>
      <c r="CW368" s="753"/>
      <c r="CX368" s="753"/>
      <c r="CY368" s="753"/>
      <c r="CZ368" s="753"/>
      <c r="DA368" s="753"/>
      <c r="DB368" s="753"/>
      <c r="DC368" s="753"/>
      <c r="DD368" s="753"/>
      <c r="DE368" s="753"/>
      <c r="DF368" s="753"/>
      <c r="DG368" s="753"/>
    </row>
    <row r="369" spans="87:111">
      <c r="CI369" s="753"/>
      <c r="CJ369" s="753"/>
      <c r="CK369" s="753"/>
      <c r="CL369" s="753"/>
      <c r="CM369" s="753"/>
      <c r="CN369" s="753"/>
      <c r="CO369" s="753"/>
      <c r="CP369" s="753"/>
      <c r="CQ369" s="753"/>
      <c r="CR369" s="753"/>
      <c r="CS369" s="753"/>
      <c r="CT369" s="753"/>
      <c r="CU369" s="753"/>
      <c r="CV369" s="753"/>
      <c r="CW369" s="753"/>
      <c r="CX369" s="753"/>
      <c r="CY369" s="753"/>
      <c r="CZ369" s="753"/>
      <c r="DA369" s="753"/>
      <c r="DB369" s="753"/>
      <c r="DC369" s="753"/>
      <c r="DD369" s="753"/>
      <c r="DE369" s="753"/>
      <c r="DF369" s="753"/>
      <c r="DG369" s="753"/>
    </row>
    <row r="370" spans="87:111">
      <c r="CI370" s="753"/>
      <c r="CJ370" s="753"/>
      <c r="CK370" s="753"/>
      <c r="CL370" s="753"/>
      <c r="CM370" s="753"/>
      <c r="CN370" s="753"/>
      <c r="CO370" s="753"/>
      <c r="CP370" s="753"/>
      <c r="CQ370" s="753"/>
      <c r="CR370" s="753"/>
      <c r="CS370" s="753"/>
      <c r="CT370" s="753"/>
      <c r="CU370" s="753"/>
      <c r="CV370" s="753"/>
      <c r="CW370" s="753"/>
      <c r="CX370" s="753"/>
      <c r="CY370" s="753"/>
      <c r="CZ370" s="753"/>
      <c r="DA370" s="753"/>
      <c r="DB370" s="753"/>
      <c r="DC370" s="753"/>
      <c r="DD370" s="753"/>
      <c r="DE370" s="753"/>
      <c r="DF370" s="753"/>
      <c r="DG370" s="753"/>
    </row>
    <row r="371" spans="87:111">
      <c r="CI371" s="753"/>
      <c r="CJ371" s="753"/>
      <c r="CK371" s="753"/>
      <c r="CL371" s="753"/>
      <c r="CM371" s="753"/>
      <c r="CN371" s="753"/>
      <c r="CO371" s="753"/>
      <c r="CP371" s="753"/>
      <c r="CQ371" s="753"/>
      <c r="CR371" s="753"/>
      <c r="CS371" s="753"/>
      <c r="CT371" s="753"/>
      <c r="CU371" s="753"/>
      <c r="CV371" s="753"/>
      <c r="CW371" s="753"/>
      <c r="CX371" s="753"/>
      <c r="CY371" s="753"/>
      <c r="CZ371" s="753"/>
      <c r="DA371" s="753"/>
      <c r="DB371" s="753"/>
      <c r="DC371" s="753"/>
      <c r="DD371" s="753"/>
      <c r="DE371" s="753"/>
      <c r="DF371" s="753"/>
      <c r="DG371" s="753"/>
    </row>
    <row r="372" spans="87:111">
      <c r="CI372" s="753"/>
      <c r="CJ372" s="753"/>
      <c r="CK372" s="753"/>
      <c r="CL372" s="753"/>
      <c r="CM372" s="753"/>
      <c r="CN372" s="753"/>
      <c r="CO372" s="753"/>
      <c r="CP372" s="753"/>
      <c r="CQ372" s="753"/>
      <c r="CR372" s="753"/>
      <c r="CS372" s="753"/>
      <c r="CT372" s="753"/>
      <c r="CU372" s="753"/>
      <c r="CV372" s="753"/>
      <c r="CW372" s="753"/>
      <c r="CX372" s="753"/>
      <c r="CY372" s="753"/>
      <c r="CZ372" s="753"/>
      <c r="DA372" s="753"/>
      <c r="DB372" s="753"/>
      <c r="DC372" s="753"/>
      <c r="DD372" s="753"/>
      <c r="DE372" s="753"/>
      <c r="DF372" s="753"/>
      <c r="DG372" s="753"/>
    </row>
    <row r="373" spans="87:111">
      <c r="CI373" s="753"/>
      <c r="CJ373" s="753"/>
      <c r="CK373" s="753"/>
      <c r="CL373" s="753"/>
      <c r="CM373" s="753"/>
      <c r="CN373" s="753"/>
      <c r="CO373" s="753"/>
      <c r="CP373" s="753"/>
      <c r="CQ373" s="753"/>
      <c r="CR373" s="753"/>
      <c r="CS373" s="753"/>
      <c r="CT373" s="753"/>
      <c r="CU373" s="753"/>
      <c r="CV373" s="753"/>
      <c r="CW373" s="753"/>
      <c r="CX373" s="753"/>
      <c r="CY373" s="753"/>
      <c r="CZ373" s="753"/>
      <c r="DA373" s="753"/>
      <c r="DB373" s="753"/>
      <c r="DC373" s="753"/>
      <c r="DD373" s="753"/>
      <c r="DE373" s="753"/>
      <c r="DF373" s="753"/>
      <c r="DG373" s="753"/>
    </row>
    <row r="374" spans="87:111">
      <c r="CI374" s="753"/>
      <c r="CJ374" s="753"/>
      <c r="CK374" s="753"/>
      <c r="CL374" s="753"/>
      <c r="CM374" s="753"/>
      <c r="CN374" s="753"/>
      <c r="CO374" s="753"/>
      <c r="CP374" s="753"/>
      <c r="CQ374" s="753"/>
      <c r="CR374" s="753"/>
      <c r="CS374" s="753"/>
      <c r="CT374" s="753"/>
      <c r="CU374" s="753"/>
      <c r="CV374" s="753"/>
      <c r="CW374" s="753"/>
      <c r="CX374" s="753"/>
      <c r="CY374" s="753"/>
      <c r="CZ374" s="753"/>
      <c r="DA374" s="753"/>
      <c r="DB374" s="753"/>
      <c r="DC374" s="753"/>
      <c r="DD374" s="753"/>
      <c r="DE374" s="753"/>
      <c r="DF374" s="753"/>
      <c r="DG374" s="753"/>
    </row>
    <row r="375" spans="87:111">
      <c r="CI375" s="753"/>
      <c r="CJ375" s="753"/>
      <c r="CK375" s="753"/>
      <c r="CL375" s="753"/>
      <c r="CM375" s="753"/>
      <c r="CN375" s="753"/>
      <c r="CO375" s="753"/>
      <c r="CP375" s="753"/>
      <c r="CQ375" s="753"/>
      <c r="CR375" s="753"/>
      <c r="CS375" s="753"/>
      <c r="CT375" s="753"/>
      <c r="CU375" s="753"/>
      <c r="CV375" s="753"/>
      <c r="CW375" s="753"/>
      <c r="CX375" s="753"/>
      <c r="CY375" s="753"/>
      <c r="CZ375" s="753"/>
      <c r="DA375" s="753"/>
      <c r="DB375" s="753"/>
      <c r="DC375" s="753"/>
      <c r="DD375" s="753"/>
      <c r="DE375" s="753"/>
      <c r="DF375" s="753"/>
      <c r="DG375" s="753"/>
    </row>
    <row r="376" spans="87:111">
      <c r="CI376" s="753"/>
      <c r="CJ376" s="753"/>
      <c r="CK376" s="753"/>
      <c r="CL376" s="753"/>
      <c r="CM376" s="753"/>
      <c r="CN376" s="753"/>
      <c r="CO376" s="753"/>
      <c r="CP376" s="753"/>
      <c r="CQ376" s="753"/>
      <c r="CR376" s="753"/>
      <c r="CS376" s="753"/>
      <c r="CT376" s="753"/>
      <c r="CU376" s="753"/>
      <c r="CV376" s="753"/>
      <c r="CW376" s="753"/>
      <c r="CX376" s="753"/>
      <c r="CY376" s="753"/>
      <c r="CZ376" s="753"/>
      <c r="DA376" s="753"/>
      <c r="DB376" s="753"/>
      <c r="DC376" s="753"/>
      <c r="DD376" s="753"/>
      <c r="DE376" s="753"/>
      <c r="DF376" s="753"/>
      <c r="DG376" s="753"/>
    </row>
    <row r="377" spans="87:111">
      <c r="CI377" s="753"/>
      <c r="CJ377" s="753"/>
      <c r="CK377" s="753"/>
      <c r="CL377" s="753"/>
      <c r="CM377" s="753"/>
      <c r="CN377" s="753"/>
      <c r="CO377" s="753"/>
      <c r="CP377" s="753"/>
      <c r="CQ377" s="753"/>
      <c r="CR377" s="753"/>
      <c r="CS377" s="753"/>
      <c r="CT377" s="753"/>
      <c r="CU377" s="753"/>
      <c r="CV377" s="753"/>
      <c r="CW377" s="753"/>
      <c r="CX377" s="753"/>
      <c r="CY377" s="753"/>
      <c r="CZ377" s="753"/>
      <c r="DA377" s="753"/>
      <c r="DB377" s="753"/>
      <c r="DC377" s="753"/>
      <c r="DD377" s="753"/>
      <c r="DE377" s="753"/>
      <c r="DF377" s="753"/>
      <c r="DG377" s="753"/>
    </row>
    <row r="378" spans="87:111">
      <c r="CI378" s="753"/>
      <c r="CJ378" s="753"/>
      <c r="CK378" s="753"/>
      <c r="CL378" s="753"/>
      <c r="CM378" s="753"/>
      <c r="CN378" s="753"/>
      <c r="CO378" s="753"/>
      <c r="CP378" s="753"/>
      <c r="CQ378" s="753"/>
      <c r="CR378" s="753"/>
      <c r="CS378" s="753"/>
      <c r="CT378" s="753"/>
      <c r="CU378" s="753"/>
      <c r="CV378" s="753"/>
      <c r="CW378" s="753"/>
      <c r="CX378" s="753"/>
      <c r="CY378" s="753"/>
      <c r="CZ378" s="753"/>
      <c r="DA378" s="753"/>
      <c r="DB378" s="753"/>
      <c r="DC378" s="753"/>
      <c r="DD378" s="753"/>
      <c r="DE378" s="753"/>
      <c r="DF378" s="753"/>
      <c r="DG378" s="753"/>
    </row>
    <row r="379" spans="87:111">
      <c r="CI379" s="753"/>
      <c r="CJ379" s="753"/>
      <c r="CK379" s="753"/>
      <c r="CL379" s="753"/>
      <c r="CM379" s="753"/>
      <c r="CN379" s="753"/>
      <c r="CO379" s="753"/>
      <c r="CP379" s="753"/>
      <c r="CQ379" s="753"/>
      <c r="CR379" s="753"/>
      <c r="CS379" s="753"/>
      <c r="CT379" s="753"/>
      <c r="CU379" s="753"/>
      <c r="CV379" s="753"/>
      <c r="CW379" s="753"/>
      <c r="CX379" s="753"/>
      <c r="CY379" s="753"/>
      <c r="CZ379" s="753"/>
      <c r="DA379" s="753"/>
      <c r="DB379" s="753"/>
      <c r="DC379" s="753"/>
      <c r="DD379" s="753"/>
      <c r="DE379" s="753"/>
      <c r="DF379" s="753"/>
      <c r="DG379" s="753"/>
    </row>
    <row r="380" spans="87:111">
      <c r="CI380" s="753"/>
      <c r="CJ380" s="753"/>
      <c r="CK380" s="753"/>
      <c r="CL380" s="753"/>
      <c r="CM380" s="753"/>
      <c r="CN380" s="753"/>
      <c r="CO380" s="753"/>
      <c r="CP380" s="753"/>
      <c r="CQ380" s="753"/>
      <c r="CR380" s="753"/>
      <c r="CS380" s="753"/>
      <c r="CT380" s="753"/>
      <c r="CU380" s="753"/>
      <c r="CV380" s="753"/>
      <c r="CW380" s="753"/>
      <c r="CX380" s="753"/>
      <c r="CY380" s="753"/>
      <c r="CZ380" s="753"/>
      <c r="DA380" s="753"/>
      <c r="DB380" s="753"/>
      <c r="DC380" s="753"/>
      <c r="DD380" s="753"/>
      <c r="DE380" s="753"/>
      <c r="DF380" s="753"/>
      <c r="DG380" s="753"/>
    </row>
    <row r="381" spans="87:111">
      <c r="CI381" s="753"/>
      <c r="CJ381" s="753"/>
      <c r="CK381" s="753"/>
      <c r="CL381" s="753"/>
      <c r="CM381" s="753"/>
      <c r="CN381" s="753"/>
      <c r="CO381" s="753"/>
      <c r="CP381" s="753"/>
      <c r="CQ381" s="753"/>
      <c r="CR381" s="753"/>
      <c r="CS381" s="753"/>
      <c r="CT381" s="753"/>
      <c r="CU381" s="753"/>
      <c r="CV381" s="753"/>
      <c r="CW381" s="753"/>
      <c r="CX381" s="753"/>
      <c r="CY381" s="753"/>
      <c r="CZ381" s="753"/>
      <c r="DA381" s="753"/>
      <c r="DB381" s="753"/>
      <c r="DC381" s="753"/>
      <c r="DD381" s="753"/>
      <c r="DE381" s="753"/>
      <c r="DF381" s="753"/>
      <c r="DG381" s="753"/>
    </row>
    <row r="382" spans="87:111">
      <c r="CI382" s="753"/>
      <c r="CJ382" s="753"/>
      <c r="CK382" s="753"/>
      <c r="CL382" s="753"/>
      <c r="CM382" s="753"/>
      <c r="CN382" s="753"/>
      <c r="CO382" s="753"/>
      <c r="CP382" s="753"/>
      <c r="CQ382" s="753"/>
      <c r="CR382" s="753"/>
      <c r="CS382" s="753"/>
      <c r="CT382" s="753"/>
      <c r="CU382" s="753"/>
      <c r="CV382" s="753"/>
      <c r="CW382" s="753"/>
      <c r="CX382" s="753"/>
      <c r="CY382" s="753"/>
      <c r="CZ382" s="753"/>
      <c r="DA382" s="753"/>
      <c r="DB382" s="753"/>
      <c r="DC382" s="753"/>
      <c r="DD382" s="753"/>
      <c r="DE382" s="753"/>
      <c r="DF382" s="753"/>
      <c r="DG382" s="753"/>
    </row>
    <row r="383" spans="87:111">
      <c r="CI383" s="753"/>
      <c r="CJ383" s="753"/>
      <c r="CK383" s="753"/>
      <c r="CL383" s="753"/>
      <c r="CM383" s="753"/>
      <c r="CN383" s="753"/>
      <c r="CO383" s="753"/>
      <c r="CP383" s="753"/>
      <c r="CQ383" s="753"/>
      <c r="CR383" s="753"/>
      <c r="CS383" s="753"/>
      <c r="CT383" s="753"/>
      <c r="CU383" s="753"/>
      <c r="CV383" s="753"/>
      <c r="CW383" s="753"/>
      <c r="CX383" s="753"/>
      <c r="CY383" s="753"/>
      <c r="CZ383" s="753"/>
      <c r="DA383" s="753"/>
      <c r="DB383" s="753"/>
      <c r="DC383" s="753"/>
      <c r="DD383" s="753"/>
      <c r="DE383" s="753"/>
      <c r="DF383" s="753"/>
      <c r="DG383" s="753"/>
    </row>
    <row r="384" spans="87:111">
      <c r="CI384" s="753"/>
      <c r="CJ384" s="753"/>
      <c r="CK384" s="753"/>
      <c r="CL384" s="753"/>
      <c r="CM384" s="753"/>
      <c r="CN384" s="753"/>
      <c r="CO384" s="753"/>
      <c r="CP384" s="753"/>
      <c r="CQ384" s="753"/>
      <c r="CR384" s="753"/>
      <c r="CS384" s="753"/>
      <c r="CT384" s="753"/>
      <c r="CU384" s="753"/>
      <c r="CV384" s="753"/>
      <c r="CW384" s="753"/>
      <c r="CX384" s="753"/>
      <c r="CY384" s="753"/>
      <c r="CZ384" s="753"/>
      <c r="DA384" s="753"/>
      <c r="DB384" s="753"/>
      <c r="DC384" s="753"/>
      <c r="DD384" s="753"/>
      <c r="DE384" s="753"/>
      <c r="DF384" s="753"/>
      <c r="DG384" s="753"/>
    </row>
    <row r="385" spans="87:111">
      <c r="CI385" s="753"/>
      <c r="CJ385" s="753"/>
      <c r="CK385" s="753"/>
      <c r="CL385" s="753"/>
      <c r="CM385" s="753"/>
      <c r="CN385" s="753"/>
      <c r="CO385" s="753"/>
      <c r="CP385" s="753"/>
      <c r="CQ385" s="753"/>
      <c r="CR385" s="753"/>
      <c r="CS385" s="753"/>
      <c r="CT385" s="753"/>
      <c r="CU385" s="753"/>
      <c r="CV385" s="753"/>
      <c r="CW385" s="753"/>
      <c r="CX385" s="753"/>
      <c r="CY385" s="753"/>
      <c r="CZ385" s="753"/>
      <c r="DA385" s="753"/>
      <c r="DB385" s="753"/>
      <c r="DC385" s="753"/>
      <c r="DD385" s="753"/>
      <c r="DE385" s="753"/>
      <c r="DF385" s="753"/>
      <c r="DG385" s="753"/>
    </row>
    <row r="386" spans="87:111">
      <c r="CI386" s="753"/>
      <c r="CJ386" s="753"/>
      <c r="CK386" s="753"/>
      <c r="CL386" s="753"/>
      <c r="CM386" s="753"/>
      <c r="CN386" s="753"/>
      <c r="CO386" s="753"/>
      <c r="CP386" s="753"/>
      <c r="CQ386" s="753"/>
      <c r="CR386" s="753"/>
      <c r="CS386" s="753"/>
      <c r="CT386" s="753"/>
      <c r="CU386" s="753"/>
      <c r="CV386" s="753"/>
      <c r="CW386" s="753"/>
      <c r="CX386" s="753"/>
      <c r="CY386" s="753"/>
      <c r="CZ386" s="753"/>
      <c r="DA386" s="753"/>
      <c r="DB386" s="753"/>
      <c r="DC386" s="753"/>
      <c r="DD386" s="753"/>
      <c r="DE386" s="753"/>
      <c r="DF386" s="753"/>
      <c r="DG386" s="753"/>
    </row>
    <row r="387" spans="87:111">
      <c r="CI387" s="753"/>
      <c r="CJ387" s="753"/>
      <c r="CK387" s="753"/>
      <c r="CL387" s="753"/>
      <c r="CM387" s="753"/>
      <c r="CN387" s="753"/>
      <c r="CO387" s="753"/>
      <c r="CP387" s="753"/>
      <c r="CQ387" s="753"/>
      <c r="CR387" s="753"/>
      <c r="CS387" s="753"/>
      <c r="CT387" s="753"/>
      <c r="CU387" s="753"/>
      <c r="CV387" s="753"/>
      <c r="CW387" s="753"/>
      <c r="CX387" s="753"/>
      <c r="CY387" s="753"/>
      <c r="CZ387" s="753"/>
      <c r="DA387" s="753"/>
      <c r="DB387" s="753"/>
      <c r="DC387" s="753"/>
      <c r="DD387" s="753"/>
      <c r="DE387" s="753"/>
      <c r="DF387" s="753"/>
      <c r="DG387" s="753"/>
    </row>
    <row r="388" spans="87:111">
      <c r="CI388" s="753"/>
      <c r="CJ388" s="753"/>
      <c r="CK388" s="753"/>
      <c r="CL388" s="753"/>
      <c r="CM388" s="753"/>
      <c r="CN388" s="753"/>
      <c r="CO388" s="753"/>
      <c r="CP388" s="753"/>
      <c r="CQ388" s="753"/>
      <c r="CR388" s="753"/>
      <c r="CS388" s="753"/>
      <c r="CT388" s="753"/>
      <c r="CU388" s="753"/>
      <c r="CV388" s="753"/>
      <c r="CW388" s="753"/>
      <c r="CX388" s="753"/>
      <c r="CY388" s="753"/>
      <c r="CZ388" s="753"/>
      <c r="DA388" s="753"/>
      <c r="DB388" s="753"/>
      <c r="DC388" s="753"/>
      <c r="DD388" s="753"/>
      <c r="DE388" s="753"/>
      <c r="DF388" s="753"/>
      <c r="DG388" s="753"/>
    </row>
  </sheetData>
  <sheetProtection sheet="1" objects="1" scenarios="1"/>
  <mergeCells count="60">
    <mergeCell ref="U100:U101"/>
    <mergeCell ref="U64:U65"/>
    <mergeCell ref="U66:U67"/>
    <mergeCell ref="U75:U76"/>
    <mergeCell ref="U77:U78"/>
    <mergeCell ref="U90:U91"/>
    <mergeCell ref="U92:U94"/>
    <mergeCell ref="AP53:AT53"/>
    <mergeCell ref="AP42:AT42"/>
    <mergeCell ref="AP43:AT43"/>
    <mergeCell ref="AP44:AT44"/>
    <mergeCell ref="AP45:AT45"/>
    <mergeCell ref="AP46:AT46"/>
    <mergeCell ref="AP47:AT47"/>
    <mergeCell ref="AP48:AT48"/>
    <mergeCell ref="AP49:AT49"/>
    <mergeCell ref="AP50:AT50"/>
    <mergeCell ref="AP51:AT51"/>
    <mergeCell ref="AP52:AT52"/>
    <mergeCell ref="AP41:AT41"/>
    <mergeCell ref="AP30:AT30"/>
    <mergeCell ref="AP31:AT31"/>
    <mergeCell ref="AP32:AT32"/>
    <mergeCell ref="AP33:AT33"/>
    <mergeCell ref="AP34:AT34"/>
    <mergeCell ref="AP35:AT35"/>
    <mergeCell ref="AP36:AT36"/>
    <mergeCell ref="AP37:AT37"/>
    <mergeCell ref="AP38:AT38"/>
    <mergeCell ref="AP39:AT39"/>
    <mergeCell ref="AP40:AT40"/>
    <mergeCell ref="D27:H29"/>
    <mergeCell ref="AP27:AT27"/>
    <mergeCell ref="AP28:AT28"/>
    <mergeCell ref="AP29:AT29"/>
    <mergeCell ref="AP17:AT17"/>
    <mergeCell ref="AI18:AN18"/>
    <mergeCell ref="AP18:AT18"/>
    <mergeCell ref="AP19:AT19"/>
    <mergeCell ref="AP20:AT20"/>
    <mergeCell ref="AP21:AT21"/>
    <mergeCell ref="AP22:AT22"/>
    <mergeCell ref="AP23:AT23"/>
    <mergeCell ref="AP24:AT24"/>
    <mergeCell ref="AP25:AT25"/>
    <mergeCell ref="AP26:AT26"/>
    <mergeCell ref="AH1:AI1"/>
    <mergeCell ref="AP16:AT16"/>
    <mergeCell ref="AP6:AT6"/>
    <mergeCell ref="AP7:AT7"/>
    <mergeCell ref="AP8:AT8"/>
    <mergeCell ref="AP9:AT9"/>
    <mergeCell ref="AP10:AT10"/>
    <mergeCell ref="AP11:AT11"/>
    <mergeCell ref="AP12:AT12"/>
    <mergeCell ref="AP13:AT13"/>
    <mergeCell ref="AP14:AT14"/>
    <mergeCell ref="AP15:AT15"/>
    <mergeCell ref="AH6:AK6"/>
    <mergeCell ref="AH9:AM9"/>
  </mergeCells>
  <dataValidations disablePrompts="1" xWindow="229" yWindow="482" count="22">
    <dataValidation allowBlank="1" showInputMessage="1" showErrorMessage="1" prompt="The 1.0 Sec. Mapped Spectral Response Acceleration value, S1, can be determined either from ASCE 7-05 Figures 22-1 through 22-14 on pages 210-227, or by using the earthquake Ground Motion Parameters Calculator downloaded from the USGS website." sqref="WVK98305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dataValidation allowBlank="1" showInputMessage="1" showErrorMessage="1" prompt="The 0.2 Sec. Mapped Spectral Response Acceleration value, Ss, can be determined either from ASCE 7-05 Figures 22-1 through 22-14 on pages 210-227, or by using the earthquake Ground Motion Parameters Calculator downloaded from the USGS website._x000a_" sqref="WVK98305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dataValidation allowBlank="1" showInputMessage="1" showErrorMessage="1" prompt="User may refer to calculation for estimated contents/product weight (Wp) at right, off of the calculation page." sqref="C25 IY25 SU25 ACQ25 AMM25 AWI25 BGE25 BQA25 BZW25 CJS25 CTO25 DDK25 DNG25 DXC25 EGY25 EQU25 FAQ25 FKM25 FUI25 GEE25 GOA25 GXW25 HHS25 HRO25 IBK25 ILG25 IVC25 JEY25 JOU25 JYQ25 KIM25 KSI25 LCE25 LMA25 LVW25 MFS25 MPO25 MZK25 NJG25 NTC25 OCY25 OMU25 OWQ25 PGM25 PQI25 QAE25 QKA25 QTW25 RDS25 RNO25 RXK25 SHG25 SRC25 TAY25 TKU25 TUQ25 UEM25 UOI25 UYE25 VIA25 VRW25 WBS25 WLO25 WVK25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dataValidation allowBlank="1" showInputMessage="1" showErrorMessage="1" prompt="User may refer to calculation for estimated bottom weight (Wb) at right, off of the calculation page." sqref="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dataValidation allowBlank="1" showInputMessage="1" showErrorMessage="1" prompt="User may refer to calculation for estimated shell weight (Ws) at right, off of the calculation page."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dataValidation allowBlank="1" showInputMessage="1" showErrorMessage="1" prompt="The 1.0 Sec. Mapped Spectral Response Acceleration value, S1, can be  determined either by using Figures 22-1 through 22-14 on pages 210-227, or using the earthquake Ground Motion Parameters Calculator downloaded from the USGS website." sqref="WVK98305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dataValidation allowBlank="1" showInputMessage="1" showErrorMessage="1" prompt="Location Zip Code can be used to determine Design Spectral Response Acceleration values, Ss and S1.  An earthquake Ground Motion Parameters Calculator may be downloaded from the USGS website at: _x000a_http://earthquake.usgs.gov/hazards/designmaps/javacalc.php" sqref="WVK98305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dataValidation operator="greaterThan" allowBlank="1" showInputMessage="1" showErrorMessage="1" sqref="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65 KG65565 UC65565 ADY65565 ANU65565 AXQ65565 BHM65565 BRI65565 CBE65565 CLA65565 CUW65565 DES65565 DOO65565 DYK65565 EIG65565 ESC65565 FBY65565 FLU65565 FVQ65565 GFM65565 GPI65565 GZE65565 HJA65565 HSW65565 ICS65565 IMO65565 IWK65565 JGG65565 JQC65565 JZY65565 KJU65565 KTQ65565 LDM65565 LNI65565 LXE65565 MHA65565 MQW65565 NAS65565 NKO65565 NUK65565 OEG65565 OOC65565 OXY65565 PHU65565 PRQ65565 QBM65565 QLI65565 QVE65565 RFA65565 ROW65565 RYS65565 SIO65565 SSK65565 TCG65565 TMC65565 TVY65565 UFU65565 UPQ65565 UZM65565 VJI65565 VTE65565 WDA65565 WMW65565 WWS65565 AK131101 KG131101 UC131101 ADY131101 ANU131101 AXQ131101 BHM131101 BRI131101 CBE131101 CLA131101 CUW131101 DES131101 DOO131101 DYK131101 EIG131101 ESC131101 FBY131101 FLU131101 FVQ131101 GFM131101 GPI131101 GZE131101 HJA131101 HSW131101 ICS131101 IMO131101 IWK131101 JGG131101 JQC131101 JZY131101 KJU131101 KTQ131101 LDM131101 LNI131101 LXE131101 MHA131101 MQW131101 NAS131101 NKO131101 NUK131101 OEG131101 OOC131101 OXY131101 PHU131101 PRQ131101 QBM131101 QLI131101 QVE131101 RFA131101 ROW131101 RYS131101 SIO131101 SSK131101 TCG131101 TMC131101 TVY131101 UFU131101 UPQ131101 UZM131101 VJI131101 VTE131101 WDA131101 WMW131101 WWS131101 AK196637 KG196637 UC196637 ADY196637 ANU196637 AXQ196637 BHM196637 BRI196637 CBE196637 CLA196637 CUW196637 DES196637 DOO196637 DYK196637 EIG196637 ESC196637 FBY196637 FLU196637 FVQ196637 GFM196637 GPI196637 GZE196637 HJA196637 HSW196637 ICS196637 IMO196637 IWK196637 JGG196637 JQC196637 JZY196637 KJU196637 KTQ196637 LDM196637 LNI196637 LXE196637 MHA196637 MQW196637 NAS196637 NKO196637 NUK196637 OEG196637 OOC196637 OXY196637 PHU196637 PRQ196637 QBM196637 QLI196637 QVE196637 RFA196637 ROW196637 RYS196637 SIO196637 SSK196637 TCG196637 TMC196637 TVY196637 UFU196637 UPQ196637 UZM196637 VJI196637 VTE196637 WDA196637 WMW196637 WWS196637 AK262173 KG262173 UC262173 ADY262173 ANU262173 AXQ262173 BHM262173 BRI262173 CBE262173 CLA262173 CUW262173 DES262173 DOO262173 DYK262173 EIG262173 ESC262173 FBY262173 FLU262173 FVQ262173 GFM262173 GPI262173 GZE262173 HJA262173 HSW262173 ICS262173 IMO262173 IWK262173 JGG262173 JQC262173 JZY262173 KJU262173 KTQ262173 LDM262173 LNI262173 LXE262173 MHA262173 MQW262173 NAS262173 NKO262173 NUK262173 OEG262173 OOC262173 OXY262173 PHU262173 PRQ262173 QBM262173 QLI262173 QVE262173 RFA262173 ROW262173 RYS262173 SIO262173 SSK262173 TCG262173 TMC262173 TVY262173 UFU262173 UPQ262173 UZM262173 VJI262173 VTE262173 WDA262173 WMW262173 WWS262173 AK327709 KG327709 UC327709 ADY327709 ANU327709 AXQ327709 BHM327709 BRI327709 CBE327709 CLA327709 CUW327709 DES327709 DOO327709 DYK327709 EIG327709 ESC327709 FBY327709 FLU327709 FVQ327709 GFM327709 GPI327709 GZE327709 HJA327709 HSW327709 ICS327709 IMO327709 IWK327709 JGG327709 JQC327709 JZY327709 KJU327709 KTQ327709 LDM327709 LNI327709 LXE327709 MHA327709 MQW327709 NAS327709 NKO327709 NUK327709 OEG327709 OOC327709 OXY327709 PHU327709 PRQ327709 QBM327709 QLI327709 QVE327709 RFA327709 ROW327709 RYS327709 SIO327709 SSK327709 TCG327709 TMC327709 TVY327709 UFU327709 UPQ327709 UZM327709 VJI327709 VTE327709 WDA327709 WMW327709 WWS327709 AK393245 KG393245 UC393245 ADY393245 ANU393245 AXQ393245 BHM393245 BRI393245 CBE393245 CLA393245 CUW393245 DES393245 DOO393245 DYK393245 EIG393245 ESC393245 FBY393245 FLU393245 FVQ393245 GFM393245 GPI393245 GZE393245 HJA393245 HSW393245 ICS393245 IMO393245 IWK393245 JGG393245 JQC393245 JZY393245 KJU393245 KTQ393245 LDM393245 LNI393245 LXE393245 MHA393245 MQW393245 NAS393245 NKO393245 NUK393245 OEG393245 OOC393245 OXY393245 PHU393245 PRQ393245 QBM393245 QLI393245 QVE393245 RFA393245 ROW393245 RYS393245 SIO393245 SSK393245 TCG393245 TMC393245 TVY393245 UFU393245 UPQ393245 UZM393245 VJI393245 VTE393245 WDA393245 WMW393245 WWS393245 AK458781 KG458781 UC458781 ADY458781 ANU458781 AXQ458781 BHM458781 BRI458781 CBE458781 CLA458781 CUW458781 DES458781 DOO458781 DYK458781 EIG458781 ESC458781 FBY458781 FLU458781 FVQ458781 GFM458781 GPI458781 GZE458781 HJA458781 HSW458781 ICS458781 IMO458781 IWK458781 JGG458781 JQC458781 JZY458781 KJU458781 KTQ458781 LDM458781 LNI458781 LXE458781 MHA458781 MQW458781 NAS458781 NKO458781 NUK458781 OEG458781 OOC458781 OXY458781 PHU458781 PRQ458781 QBM458781 QLI458781 QVE458781 RFA458781 ROW458781 RYS458781 SIO458781 SSK458781 TCG458781 TMC458781 TVY458781 UFU458781 UPQ458781 UZM458781 VJI458781 VTE458781 WDA458781 WMW458781 WWS458781 AK524317 KG524317 UC524317 ADY524317 ANU524317 AXQ524317 BHM524317 BRI524317 CBE524317 CLA524317 CUW524317 DES524317 DOO524317 DYK524317 EIG524317 ESC524317 FBY524317 FLU524317 FVQ524317 GFM524317 GPI524317 GZE524317 HJA524317 HSW524317 ICS524317 IMO524317 IWK524317 JGG524317 JQC524317 JZY524317 KJU524317 KTQ524317 LDM524317 LNI524317 LXE524317 MHA524317 MQW524317 NAS524317 NKO524317 NUK524317 OEG524317 OOC524317 OXY524317 PHU524317 PRQ524317 QBM524317 QLI524317 QVE524317 RFA524317 ROW524317 RYS524317 SIO524317 SSK524317 TCG524317 TMC524317 TVY524317 UFU524317 UPQ524317 UZM524317 VJI524317 VTE524317 WDA524317 WMW524317 WWS524317 AK589853 KG589853 UC589853 ADY589853 ANU589853 AXQ589853 BHM589853 BRI589853 CBE589853 CLA589853 CUW589853 DES589853 DOO589853 DYK589853 EIG589853 ESC589853 FBY589853 FLU589853 FVQ589853 GFM589853 GPI589853 GZE589853 HJA589853 HSW589853 ICS589853 IMO589853 IWK589853 JGG589853 JQC589853 JZY589853 KJU589853 KTQ589853 LDM589853 LNI589853 LXE589853 MHA589853 MQW589853 NAS589853 NKO589853 NUK589853 OEG589853 OOC589853 OXY589853 PHU589853 PRQ589853 QBM589853 QLI589853 QVE589853 RFA589853 ROW589853 RYS589853 SIO589853 SSK589853 TCG589853 TMC589853 TVY589853 UFU589853 UPQ589853 UZM589853 VJI589853 VTE589853 WDA589853 WMW589853 WWS589853 AK655389 KG655389 UC655389 ADY655389 ANU655389 AXQ655389 BHM655389 BRI655389 CBE655389 CLA655389 CUW655389 DES655389 DOO655389 DYK655389 EIG655389 ESC655389 FBY655389 FLU655389 FVQ655389 GFM655389 GPI655389 GZE655389 HJA655389 HSW655389 ICS655389 IMO655389 IWK655389 JGG655389 JQC655389 JZY655389 KJU655389 KTQ655389 LDM655389 LNI655389 LXE655389 MHA655389 MQW655389 NAS655389 NKO655389 NUK655389 OEG655389 OOC655389 OXY655389 PHU655389 PRQ655389 QBM655389 QLI655389 QVE655389 RFA655389 ROW655389 RYS655389 SIO655389 SSK655389 TCG655389 TMC655389 TVY655389 UFU655389 UPQ655389 UZM655389 VJI655389 VTE655389 WDA655389 WMW655389 WWS655389 AK720925 KG720925 UC720925 ADY720925 ANU720925 AXQ720925 BHM720925 BRI720925 CBE720925 CLA720925 CUW720925 DES720925 DOO720925 DYK720925 EIG720925 ESC720925 FBY720925 FLU720925 FVQ720925 GFM720925 GPI720925 GZE720925 HJA720925 HSW720925 ICS720925 IMO720925 IWK720925 JGG720925 JQC720925 JZY720925 KJU720925 KTQ720925 LDM720925 LNI720925 LXE720925 MHA720925 MQW720925 NAS720925 NKO720925 NUK720925 OEG720925 OOC720925 OXY720925 PHU720925 PRQ720925 QBM720925 QLI720925 QVE720925 RFA720925 ROW720925 RYS720925 SIO720925 SSK720925 TCG720925 TMC720925 TVY720925 UFU720925 UPQ720925 UZM720925 VJI720925 VTE720925 WDA720925 WMW720925 WWS720925 AK786461 KG786461 UC786461 ADY786461 ANU786461 AXQ786461 BHM786461 BRI786461 CBE786461 CLA786461 CUW786461 DES786461 DOO786461 DYK786461 EIG786461 ESC786461 FBY786461 FLU786461 FVQ786461 GFM786461 GPI786461 GZE786461 HJA786461 HSW786461 ICS786461 IMO786461 IWK786461 JGG786461 JQC786461 JZY786461 KJU786461 KTQ786461 LDM786461 LNI786461 LXE786461 MHA786461 MQW786461 NAS786461 NKO786461 NUK786461 OEG786461 OOC786461 OXY786461 PHU786461 PRQ786461 QBM786461 QLI786461 QVE786461 RFA786461 ROW786461 RYS786461 SIO786461 SSK786461 TCG786461 TMC786461 TVY786461 UFU786461 UPQ786461 UZM786461 VJI786461 VTE786461 WDA786461 WMW786461 WWS786461 AK851997 KG851997 UC851997 ADY851997 ANU851997 AXQ851997 BHM851997 BRI851997 CBE851997 CLA851997 CUW851997 DES851997 DOO851997 DYK851997 EIG851997 ESC851997 FBY851997 FLU851997 FVQ851997 GFM851997 GPI851997 GZE851997 HJA851997 HSW851997 ICS851997 IMO851997 IWK851997 JGG851997 JQC851997 JZY851997 KJU851997 KTQ851997 LDM851997 LNI851997 LXE851997 MHA851997 MQW851997 NAS851997 NKO851997 NUK851997 OEG851997 OOC851997 OXY851997 PHU851997 PRQ851997 QBM851997 QLI851997 QVE851997 RFA851997 ROW851997 RYS851997 SIO851997 SSK851997 TCG851997 TMC851997 TVY851997 UFU851997 UPQ851997 UZM851997 VJI851997 VTE851997 WDA851997 WMW851997 WWS851997 AK917533 KG917533 UC917533 ADY917533 ANU917533 AXQ917533 BHM917533 BRI917533 CBE917533 CLA917533 CUW917533 DES917533 DOO917533 DYK917533 EIG917533 ESC917533 FBY917533 FLU917533 FVQ917533 GFM917533 GPI917533 GZE917533 HJA917533 HSW917533 ICS917533 IMO917533 IWK917533 JGG917533 JQC917533 JZY917533 KJU917533 KTQ917533 LDM917533 LNI917533 LXE917533 MHA917533 MQW917533 NAS917533 NKO917533 NUK917533 OEG917533 OOC917533 OXY917533 PHU917533 PRQ917533 QBM917533 QLI917533 QVE917533 RFA917533 ROW917533 RYS917533 SIO917533 SSK917533 TCG917533 TMC917533 TVY917533 UFU917533 UPQ917533 UZM917533 VJI917533 VTE917533 WDA917533 WMW917533 WWS917533 AK983069 KG983069 UC983069 ADY983069 ANU983069 AXQ983069 BHM983069 BRI983069 CBE983069 CLA983069 CUW983069 DES983069 DOO983069 DYK983069 EIG983069 ESC983069 FBY983069 FLU983069 FVQ983069 GFM983069 GPI983069 GZE983069 HJA983069 HSW983069 ICS983069 IMO983069 IWK983069 JGG983069 JQC983069 JZY983069 KJU983069 KTQ983069 LDM983069 LNI983069 LXE983069 MHA983069 MQW983069 NAS983069 NKO983069 NUK983069 OEG983069 OOC983069 OXY983069 PHU983069 PRQ983069 QBM983069 QLI983069 QVE983069 RFA983069 ROW983069 RYS983069 SIO983069 SSK983069 TCG983069 TMC983069 TVY983069 UFU983069 UPQ983069 UZM983069 VJI983069 VTE983069 WDA983069 WMW983069 WWS983069"/>
    <dataValidation type="decimal" operator="greaterThan" allowBlank="1" showInputMessage="1" showErrorMessage="1" errorTitle="Invalid Entry" error="Tank diameter cannot be less than the Inside diameter!" sqref="AK28 KG28 UC28 ADY28 ANU28 AXQ28 BHM28 BRI28 CBE28 CLA28 CUW28 DES28 DOO28 DYK28 EIG28 ESC28 FBY28 FLU28 FVQ28 GFM28 GPI28 GZE28 HJA28 HSW28 ICS28 IMO28 IWK28 JGG28 JQC28 JZY28 KJU28 KTQ28 LDM28 LNI28 LXE28 MHA28 MQW28 NAS28 NKO28 NUK28 OEG28 OOC28 OXY28 PHU28 PRQ28 QBM28 QLI28 QVE28 RFA28 ROW28 RYS28 SIO28 SSK28 TCG28 TMC28 TVY28 UFU28 UPQ28 UZM28 VJI28 VTE28 WDA28 WMW28 WWS28 AK65564 KG65564 UC65564 ADY65564 ANU65564 AXQ65564 BHM65564 BRI65564 CBE65564 CLA65564 CUW65564 DES65564 DOO65564 DYK65564 EIG65564 ESC65564 FBY65564 FLU65564 FVQ65564 GFM65564 GPI65564 GZE65564 HJA65564 HSW65564 ICS65564 IMO65564 IWK65564 JGG65564 JQC65564 JZY65564 KJU65564 KTQ65564 LDM65564 LNI65564 LXE65564 MHA65564 MQW65564 NAS65564 NKO65564 NUK65564 OEG65564 OOC65564 OXY65564 PHU65564 PRQ65564 QBM65564 QLI65564 QVE65564 RFA65564 ROW65564 RYS65564 SIO65564 SSK65564 TCG65564 TMC65564 TVY65564 UFU65564 UPQ65564 UZM65564 VJI65564 VTE65564 WDA65564 WMW65564 WWS65564 AK131100 KG131100 UC131100 ADY131100 ANU131100 AXQ131100 BHM131100 BRI131100 CBE131100 CLA131100 CUW131100 DES131100 DOO131100 DYK131100 EIG131100 ESC131100 FBY131100 FLU131100 FVQ131100 GFM131100 GPI131100 GZE131100 HJA131100 HSW131100 ICS131100 IMO131100 IWK131100 JGG131100 JQC131100 JZY131100 KJU131100 KTQ131100 LDM131100 LNI131100 LXE131100 MHA131100 MQW131100 NAS131100 NKO131100 NUK131100 OEG131100 OOC131100 OXY131100 PHU131100 PRQ131100 QBM131100 QLI131100 QVE131100 RFA131100 ROW131100 RYS131100 SIO131100 SSK131100 TCG131100 TMC131100 TVY131100 UFU131100 UPQ131100 UZM131100 VJI131100 VTE131100 WDA131100 WMW131100 WWS131100 AK196636 KG196636 UC196636 ADY196636 ANU196636 AXQ196636 BHM196636 BRI196636 CBE196636 CLA196636 CUW196636 DES196636 DOO196636 DYK196636 EIG196636 ESC196636 FBY196636 FLU196636 FVQ196636 GFM196636 GPI196636 GZE196636 HJA196636 HSW196636 ICS196636 IMO196636 IWK196636 JGG196636 JQC196636 JZY196636 KJU196636 KTQ196636 LDM196636 LNI196636 LXE196636 MHA196636 MQW196636 NAS196636 NKO196636 NUK196636 OEG196636 OOC196636 OXY196636 PHU196636 PRQ196636 QBM196636 QLI196636 QVE196636 RFA196636 ROW196636 RYS196636 SIO196636 SSK196636 TCG196636 TMC196636 TVY196636 UFU196636 UPQ196636 UZM196636 VJI196636 VTE196636 WDA196636 WMW196636 WWS196636 AK262172 KG262172 UC262172 ADY262172 ANU262172 AXQ262172 BHM262172 BRI262172 CBE262172 CLA262172 CUW262172 DES262172 DOO262172 DYK262172 EIG262172 ESC262172 FBY262172 FLU262172 FVQ262172 GFM262172 GPI262172 GZE262172 HJA262172 HSW262172 ICS262172 IMO262172 IWK262172 JGG262172 JQC262172 JZY262172 KJU262172 KTQ262172 LDM262172 LNI262172 LXE262172 MHA262172 MQW262172 NAS262172 NKO262172 NUK262172 OEG262172 OOC262172 OXY262172 PHU262172 PRQ262172 QBM262172 QLI262172 QVE262172 RFA262172 ROW262172 RYS262172 SIO262172 SSK262172 TCG262172 TMC262172 TVY262172 UFU262172 UPQ262172 UZM262172 VJI262172 VTE262172 WDA262172 WMW262172 WWS262172 AK327708 KG327708 UC327708 ADY327708 ANU327708 AXQ327708 BHM327708 BRI327708 CBE327708 CLA327708 CUW327708 DES327708 DOO327708 DYK327708 EIG327708 ESC327708 FBY327708 FLU327708 FVQ327708 GFM327708 GPI327708 GZE327708 HJA327708 HSW327708 ICS327708 IMO327708 IWK327708 JGG327708 JQC327708 JZY327708 KJU327708 KTQ327708 LDM327708 LNI327708 LXE327708 MHA327708 MQW327708 NAS327708 NKO327708 NUK327708 OEG327708 OOC327708 OXY327708 PHU327708 PRQ327708 QBM327708 QLI327708 QVE327708 RFA327708 ROW327708 RYS327708 SIO327708 SSK327708 TCG327708 TMC327708 TVY327708 UFU327708 UPQ327708 UZM327708 VJI327708 VTE327708 WDA327708 WMW327708 WWS327708 AK393244 KG393244 UC393244 ADY393244 ANU393244 AXQ393244 BHM393244 BRI393244 CBE393244 CLA393244 CUW393244 DES393244 DOO393244 DYK393244 EIG393244 ESC393244 FBY393244 FLU393244 FVQ393244 GFM393244 GPI393244 GZE393244 HJA393244 HSW393244 ICS393244 IMO393244 IWK393244 JGG393244 JQC393244 JZY393244 KJU393244 KTQ393244 LDM393244 LNI393244 LXE393244 MHA393244 MQW393244 NAS393244 NKO393244 NUK393244 OEG393244 OOC393244 OXY393244 PHU393244 PRQ393244 QBM393244 QLI393244 QVE393244 RFA393244 ROW393244 RYS393244 SIO393244 SSK393244 TCG393244 TMC393244 TVY393244 UFU393244 UPQ393244 UZM393244 VJI393244 VTE393244 WDA393244 WMW393244 WWS393244 AK458780 KG458780 UC458780 ADY458780 ANU458780 AXQ458780 BHM458780 BRI458780 CBE458780 CLA458780 CUW458780 DES458780 DOO458780 DYK458780 EIG458780 ESC458780 FBY458780 FLU458780 FVQ458780 GFM458780 GPI458780 GZE458780 HJA458780 HSW458780 ICS458780 IMO458780 IWK458780 JGG458780 JQC458780 JZY458780 KJU458780 KTQ458780 LDM458780 LNI458780 LXE458780 MHA458780 MQW458780 NAS458780 NKO458780 NUK458780 OEG458780 OOC458780 OXY458780 PHU458780 PRQ458780 QBM458780 QLI458780 QVE458780 RFA458780 ROW458780 RYS458780 SIO458780 SSK458780 TCG458780 TMC458780 TVY458780 UFU458780 UPQ458780 UZM458780 VJI458780 VTE458780 WDA458780 WMW458780 WWS458780 AK524316 KG524316 UC524316 ADY524316 ANU524316 AXQ524316 BHM524316 BRI524316 CBE524316 CLA524316 CUW524316 DES524316 DOO524316 DYK524316 EIG524316 ESC524316 FBY524316 FLU524316 FVQ524316 GFM524316 GPI524316 GZE524316 HJA524316 HSW524316 ICS524316 IMO524316 IWK524316 JGG524316 JQC524316 JZY524316 KJU524316 KTQ524316 LDM524316 LNI524316 LXE524316 MHA524316 MQW524316 NAS524316 NKO524316 NUK524316 OEG524316 OOC524316 OXY524316 PHU524316 PRQ524316 QBM524316 QLI524316 QVE524316 RFA524316 ROW524316 RYS524316 SIO524316 SSK524316 TCG524316 TMC524316 TVY524316 UFU524316 UPQ524316 UZM524316 VJI524316 VTE524316 WDA524316 WMW524316 WWS524316 AK589852 KG589852 UC589852 ADY589852 ANU589852 AXQ589852 BHM589852 BRI589852 CBE589852 CLA589852 CUW589852 DES589852 DOO589852 DYK589852 EIG589852 ESC589852 FBY589852 FLU589852 FVQ589852 GFM589852 GPI589852 GZE589852 HJA589852 HSW589852 ICS589852 IMO589852 IWK589852 JGG589852 JQC589852 JZY589852 KJU589852 KTQ589852 LDM589852 LNI589852 LXE589852 MHA589852 MQW589852 NAS589852 NKO589852 NUK589852 OEG589852 OOC589852 OXY589852 PHU589852 PRQ589852 QBM589852 QLI589852 QVE589852 RFA589852 ROW589852 RYS589852 SIO589852 SSK589852 TCG589852 TMC589852 TVY589852 UFU589852 UPQ589852 UZM589852 VJI589852 VTE589852 WDA589852 WMW589852 WWS589852 AK655388 KG655388 UC655388 ADY655388 ANU655388 AXQ655388 BHM655388 BRI655388 CBE655388 CLA655388 CUW655388 DES655388 DOO655388 DYK655388 EIG655388 ESC655388 FBY655388 FLU655388 FVQ655388 GFM655388 GPI655388 GZE655388 HJA655388 HSW655388 ICS655388 IMO655388 IWK655388 JGG655388 JQC655388 JZY655388 KJU655388 KTQ655388 LDM655388 LNI655388 LXE655388 MHA655388 MQW655388 NAS655388 NKO655388 NUK655388 OEG655388 OOC655388 OXY655388 PHU655388 PRQ655388 QBM655388 QLI655388 QVE655388 RFA655388 ROW655388 RYS655388 SIO655388 SSK655388 TCG655388 TMC655388 TVY655388 UFU655388 UPQ655388 UZM655388 VJI655388 VTE655388 WDA655388 WMW655388 WWS655388 AK720924 KG720924 UC720924 ADY720924 ANU720924 AXQ720924 BHM720924 BRI720924 CBE720924 CLA720924 CUW720924 DES720924 DOO720924 DYK720924 EIG720924 ESC720924 FBY720924 FLU720924 FVQ720924 GFM720924 GPI720924 GZE720924 HJA720924 HSW720924 ICS720924 IMO720924 IWK720924 JGG720924 JQC720924 JZY720924 KJU720924 KTQ720924 LDM720924 LNI720924 LXE720924 MHA720924 MQW720924 NAS720924 NKO720924 NUK720924 OEG720924 OOC720924 OXY720924 PHU720924 PRQ720924 QBM720924 QLI720924 QVE720924 RFA720924 ROW720924 RYS720924 SIO720924 SSK720924 TCG720924 TMC720924 TVY720924 UFU720924 UPQ720924 UZM720924 VJI720924 VTE720924 WDA720924 WMW720924 WWS720924 AK786460 KG786460 UC786460 ADY786460 ANU786460 AXQ786460 BHM786460 BRI786460 CBE786460 CLA786460 CUW786460 DES786460 DOO786460 DYK786460 EIG786460 ESC786460 FBY786460 FLU786460 FVQ786460 GFM786460 GPI786460 GZE786460 HJA786460 HSW786460 ICS786460 IMO786460 IWK786460 JGG786460 JQC786460 JZY786460 KJU786460 KTQ786460 LDM786460 LNI786460 LXE786460 MHA786460 MQW786460 NAS786460 NKO786460 NUK786460 OEG786460 OOC786460 OXY786460 PHU786460 PRQ786460 QBM786460 QLI786460 QVE786460 RFA786460 ROW786460 RYS786460 SIO786460 SSK786460 TCG786460 TMC786460 TVY786460 UFU786460 UPQ786460 UZM786460 VJI786460 VTE786460 WDA786460 WMW786460 WWS786460 AK851996 KG851996 UC851996 ADY851996 ANU851996 AXQ851996 BHM851996 BRI851996 CBE851996 CLA851996 CUW851996 DES851996 DOO851996 DYK851996 EIG851996 ESC851996 FBY851996 FLU851996 FVQ851996 GFM851996 GPI851996 GZE851996 HJA851996 HSW851996 ICS851996 IMO851996 IWK851996 JGG851996 JQC851996 JZY851996 KJU851996 KTQ851996 LDM851996 LNI851996 LXE851996 MHA851996 MQW851996 NAS851996 NKO851996 NUK851996 OEG851996 OOC851996 OXY851996 PHU851996 PRQ851996 QBM851996 QLI851996 QVE851996 RFA851996 ROW851996 RYS851996 SIO851996 SSK851996 TCG851996 TMC851996 TVY851996 UFU851996 UPQ851996 UZM851996 VJI851996 VTE851996 WDA851996 WMW851996 WWS851996 AK917532 KG917532 UC917532 ADY917532 ANU917532 AXQ917532 BHM917532 BRI917532 CBE917532 CLA917532 CUW917532 DES917532 DOO917532 DYK917532 EIG917532 ESC917532 FBY917532 FLU917532 FVQ917532 GFM917532 GPI917532 GZE917532 HJA917532 HSW917532 ICS917532 IMO917532 IWK917532 JGG917532 JQC917532 JZY917532 KJU917532 KTQ917532 LDM917532 LNI917532 LXE917532 MHA917532 MQW917532 NAS917532 NKO917532 NUK917532 OEG917532 OOC917532 OXY917532 PHU917532 PRQ917532 QBM917532 QLI917532 QVE917532 RFA917532 ROW917532 RYS917532 SIO917532 SSK917532 TCG917532 TMC917532 TVY917532 UFU917532 UPQ917532 UZM917532 VJI917532 VTE917532 WDA917532 WMW917532 WWS917532 AK983068 KG983068 UC983068 ADY983068 ANU983068 AXQ983068 BHM983068 BRI983068 CBE983068 CLA983068 CUW983068 DES983068 DOO983068 DYK983068 EIG983068 ESC983068 FBY983068 FLU983068 FVQ983068 GFM983068 GPI983068 GZE983068 HJA983068 HSW983068 ICS983068 IMO983068 IWK983068 JGG983068 JQC983068 JZY983068 KJU983068 KTQ983068 LDM983068 LNI983068 LXE983068 MHA983068 MQW983068 NAS983068 NKO983068 NUK983068 OEG983068 OOC983068 OXY983068 PHU983068 PRQ983068 QBM983068 QLI983068 QVE983068 RFA983068 ROW983068 RYS983068 SIO983068 SSK983068 TCG983068 TMC983068 TVY983068 UFU983068 UPQ983068 UZM983068 VJI983068 VTE983068 WDA983068 WMW983068 WWS983068">
      <formula1>AK22</formula1>
    </dataValidation>
    <dataValidation type="decimal" operator="lessThanOrEqual" allowBlank="1" showInputMessage="1" showErrorMessage="1" sqref="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formula1>$C$15</formula1>
    </dataValidation>
    <dataValidation type="list" allowBlank="1" showInputMessage="1" showErrorMessage="1" prompt="Selections for Structural System are from ASCE 7-05 Table 15.4-2, on page 163." sqref="C27 IY27 SU27 ACQ27 AMM27 AWI27 BGE27 BQA27 BZW27 CJS27 CTO27 DDK27 DNG27 DXC27 EGY27 EQU27 FAQ27 FKM27 FUI27 GEE27 GOA27 GXW27 HHS27 HRO27 IBK27 ILG27 IVC27 JEY27 JOU27 JYQ27 KIM27 KSI27 LCE27 LMA27 LVW27 MFS27 MPO27 MZK27 NJG27 NTC27 OCY27 OMU27 OWQ27 PGM27 PQI27 QAE27 QKA27 QTW27 RDS27 RNO27 RXK27 SHG27 SRC27 TAY27 TKU27 TUQ27 UEM27 UOI27 UYE27 VIA27 VRW27 WBS27 WLO27 WVK27 C65563 IY65563 SU65563 ACQ65563 AMM65563 AWI65563 BGE65563 BQA65563 BZW65563 CJS65563 CTO65563 DDK65563 DNG65563 DXC65563 EGY65563 EQU65563 FAQ65563 FKM65563 FUI65563 GEE65563 GOA65563 GXW65563 HHS65563 HRO65563 IBK65563 ILG65563 IVC65563 JEY65563 JOU65563 JYQ65563 KIM65563 KSI65563 LCE65563 LMA65563 LVW65563 MFS65563 MPO65563 MZK65563 NJG65563 NTC65563 OCY65563 OMU65563 OWQ65563 PGM65563 PQI65563 QAE65563 QKA65563 QTW65563 RDS65563 RNO65563 RXK65563 SHG65563 SRC65563 TAY65563 TKU65563 TUQ65563 UEM65563 UOI65563 UYE65563 VIA65563 VRW65563 WBS65563 WLO65563 WVK65563 C131099 IY131099 SU131099 ACQ131099 AMM131099 AWI131099 BGE131099 BQA131099 BZW131099 CJS131099 CTO131099 DDK131099 DNG131099 DXC131099 EGY131099 EQU131099 FAQ131099 FKM131099 FUI131099 GEE131099 GOA131099 GXW131099 HHS131099 HRO131099 IBK131099 ILG131099 IVC131099 JEY131099 JOU131099 JYQ131099 KIM131099 KSI131099 LCE131099 LMA131099 LVW131099 MFS131099 MPO131099 MZK131099 NJG131099 NTC131099 OCY131099 OMU131099 OWQ131099 PGM131099 PQI131099 QAE131099 QKA131099 QTW131099 RDS131099 RNO131099 RXK131099 SHG131099 SRC131099 TAY131099 TKU131099 TUQ131099 UEM131099 UOI131099 UYE131099 VIA131099 VRW131099 WBS131099 WLO131099 WVK131099 C196635 IY196635 SU196635 ACQ196635 AMM196635 AWI196635 BGE196635 BQA196635 BZW196635 CJS196635 CTO196635 DDK196635 DNG196635 DXC196635 EGY196635 EQU196635 FAQ196635 FKM196635 FUI196635 GEE196635 GOA196635 GXW196635 HHS196635 HRO196635 IBK196635 ILG196635 IVC196635 JEY196635 JOU196635 JYQ196635 KIM196635 KSI196635 LCE196635 LMA196635 LVW196635 MFS196635 MPO196635 MZK196635 NJG196635 NTC196635 OCY196635 OMU196635 OWQ196635 PGM196635 PQI196635 QAE196635 QKA196635 QTW196635 RDS196635 RNO196635 RXK196635 SHG196635 SRC196635 TAY196635 TKU196635 TUQ196635 UEM196635 UOI196635 UYE196635 VIA196635 VRW196635 WBS196635 WLO196635 WVK196635 C262171 IY262171 SU262171 ACQ262171 AMM262171 AWI262171 BGE262171 BQA262171 BZW262171 CJS262171 CTO262171 DDK262171 DNG262171 DXC262171 EGY262171 EQU262171 FAQ262171 FKM262171 FUI262171 GEE262171 GOA262171 GXW262171 HHS262171 HRO262171 IBK262171 ILG262171 IVC262171 JEY262171 JOU262171 JYQ262171 KIM262171 KSI262171 LCE262171 LMA262171 LVW262171 MFS262171 MPO262171 MZK262171 NJG262171 NTC262171 OCY262171 OMU262171 OWQ262171 PGM262171 PQI262171 QAE262171 QKA262171 QTW262171 RDS262171 RNO262171 RXK262171 SHG262171 SRC262171 TAY262171 TKU262171 TUQ262171 UEM262171 UOI262171 UYE262171 VIA262171 VRW262171 WBS262171 WLO262171 WVK262171 C327707 IY327707 SU327707 ACQ327707 AMM327707 AWI327707 BGE327707 BQA327707 BZW327707 CJS327707 CTO327707 DDK327707 DNG327707 DXC327707 EGY327707 EQU327707 FAQ327707 FKM327707 FUI327707 GEE327707 GOA327707 GXW327707 HHS327707 HRO327707 IBK327707 ILG327707 IVC327707 JEY327707 JOU327707 JYQ327707 KIM327707 KSI327707 LCE327707 LMA327707 LVW327707 MFS327707 MPO327707 MZK327707 NJG327707 NTC327707 OCY327707 OMU327707 OWQ327707 PGM327707 PQI327707 QAE327707 QKA327707 QTW327707 RDS327707 RNO327707 RXK327707 SHG327707 SRC327707 TAY327707 TKU327707 TUQ327707 UEM327707 UOI327707 UYE327707 VIA327707 VRW327707 WBS327707 WLO327707 WVK327707 C393243 IY393243 SU393243 ACQ393243 AMM393243 AWI393243 BGE393243 BQA393243 BZW393243 CJS393243 CTO393243 DDK393243 DNG393243 DXC393243 EGY393243 EQU393243 FAQ393243 FKM393243 FUI393243 GEE393243 GOA393243 GXW393243 HHS393243 HRO393243 IBK393243 ILG393243 IVC393243 JEY393243 JOU393243 JYQ393243 KIM393243 KSI393243 LCE393243 LMA393243 LVW393243 MFS393243 MPO393243 MZK393243 NJG393243 NTC393243 OCY393243 OMU393243 OWQ393243 PGM393243 PQI393243 QAE393243 QKA393243 QTW393243 RDS393243 RNO393243 RXK393243 SHG393243 SRC393243 TAY393243 TKU393243 TUQ393243 UEM393243 UOI393243 UYE393243 VIA393243 VRW393243 WBS393243 WLO393243 WVK393243 C458779 IY458779 SU458779 ACQ458779 AMM458779 AWI458779 BGE458779 BQA458779 BZW458779 CJS458779 CTO458779 DDK458779 DNG458779 DXC458779 EGY458779 EQU458779 FAQ458779 FKM458779 FUI458779 GEE458779 GOA458779 GXW458779 HHS458779 HRO458779 IBK458779 ILG458779 IVC458779 JEY458779 JOU458779 JYQ458779 KIM458779 KSI458779 LCE458779 LMA458779 LVW458779 MFS458779 MPO458779 MZK458779 NJG458779 NTC458779 OCY458779 OMU458779 OWQ458779 PGM458779 PQI458779 QAE458779 QKA458779 QTW458779 RDS458779 RNO458779 RXK458779 SHG458779 SRC458779 TAY458779 TKU458779 TUQ458779 UEM458779 UOI458779 UYE458779 VIA458779 VRW458779 WBS458779 WLO458779 WVK458779 C524315 IY524315 SU524315 ACQ524315 AMM524315 AWI524315 BGE524315 BQA524315 BZW524315 CJS524315 CTO524315 DDK524315 DNG524315 DXC524315 EGY524315 EQU524315 FAQ524315 FKM524315 FUI524315 GEE524315 GOA524315 GXW524315 HHS524315 HRO524315 IBK524315 ILG524315 IVC524315 JEY524315 JOU524315 JYQ524315 KIM524315 KSI524315 LCE524315 LMA524315 LVW524315 MFS524315 MPO524315 MZK524315 NJG524315 NTC524315 OCY524315 OMU524315 OWQ524315 PGM524315 PQI524315 QAE524315 QKA524315 QTW524315 RDS524315 RNO524315 RXK524315 SHG524315 SRC524315 TAY524315 TKU524315 TUQ524315 UEM524315 UOI524315 UYE524315 VIA524315 VRW524315 WBS524315 WLO524315 WVK524315 C589851 IY589851 SU589851 ACQ589851 AMM589851 AWI589851 BGE589851 BQA589851 BZW589851 CJS589851 CTO589851 DDK589851 DNG589851 DXC589851 EGY589851 EQU589851 FAQ589851 FKM589851 FUI589851 GEE589851 GOA589851 GXW589851 HHS589851 HRO589851 IBK589851 ILG589851 IVC589851 JEY589851 JOU589851 JYQ589851 KIM589851 KSI589851 LCE589851 LMA589851 LVW589851 MFS589851 MPO589851 MZK589851 NJG589851 NTC589851 OCY589851 OMU589851 OWQ589851 PGM589851 PQI589851 QAE589851 QKA589851 QTW589851 RDS589851 RNO589851 RXK589851 SHG589851 SRC589851 TAY589851 TKU589851 TUQ589851 UEM589851 UOI589851 UYE589851 VIA589851 VRW589851 WBS589851 WLO589851 WVK589851 C655387 IY655387 SU655387 ACQ655387 AMM655387 AWI655387 BGE655387 BQA655387 BZW655387 CJS655387 CTO655387 DDK655387 DNG655387 DXC655387 EGY655387 EQU655387 FAQ655387 FKM655387 FUI655387 GEE655387 GOA655387 GXW655387 HHS655387 HRO655387 IBK655387 ILG655387 IVC655387 JEY655387 JOU655387 JYQ655387 KIM655387 KSI655387 LCE655387 LMA655387 LVW655387 MFS655387 MPO655387 MZK655387 NJG655387 NTC655387 OCY655387 OMU655387 OWQ655387 PGM655387 PQI655387 QAE655387 QKA655387 QTW655387 RDS655387 RNO655387 RXK655387 SHG655387 SRC655387 TAY655387 TKU655387 TUQ655387 UEM655387 UOI655387 UYE655387 VIA655387 VRW655387 WBS655387 WLO655387 WVK655387 C720923 IY720923 SU720923 ACQ720923 AMM720923 AWI720923 BGE720923 BQA720923 BZW720923 CJS720923 CTO720923 DDK720923 DNG720923 DXC720923 EGY720923 EQU720923 FAQ720923 FKM720923 FUI720923 GEE720923 GOA720923 GXW720923 HHS720923 HRO720923 IBK720923 ILG720923 IVC720923 JEY720923 JOU720923 JYQ720923 KIM720923 KSI720923 LCE720923 LMA720923 LVW720923 MFS720923 MPO720923 MZK720923 NJG720923 NTC720923 OCY720923 OMU720923 OWQ720923 PGM720923 PQI720923 QAE720923 QKA720923 QTW720923 RDS720923 RNO720923 RXK720923 SHG720923 SRC720923 TAY720923 TKU720923 TUQ720923 UEM720923 UOI720923 UYE720923 VIA720923 VRW720923 WBS720923 WLO720923 WVK720923 C786459 IY786459 SU786459 ACQ786459 AMM786459 AWI786459 BGE786459 BQA786459 BZW786459 CJS786459 CTO786459 DDK786459 DNG786459 DXC786459 EGY786459 EQU786459 FAQ786459 FKM786459 FUI786459 GEE786459 GOA786459 GXW786459 HHS786459 HRO786459 IBK786459 ILG786459 IVC786459 JEY786459 JOU786459 JYQ786459 KIM786459 KSI786459 LCE786459 LMA786459 LVW786459 MFS786459 MPO786459 MZK786459 NJG786459 NTC786459 OCY786459 OMU786459 OWQ786459 PGM786459 PQI786459 QAE786459 QKA786459 QTW786459 RDS786459 RNO786459 RXK786459 SHG786459 SRC786459 TAY786459 TKU786459 TUQ786459 UEM786459 UOI786459 UYE786459 VIA786459 VRW786459 WBS786459 WLO786459 WVK786459 C851995 IY851995 SU851995 ACQ851995 AMM851995 AWI851995 BGE851995 BQA851995 BZW851995 CJS851995 CTO851995 DDK851995 DNG851995 DXC851995 EGY851995 EQU851995 FAQ851995 FKM851995 FUI851995 GEE851995 GOA851995 GXW851995 HHS851995 HRO851995 IBK851995 ILG851995 IVC851995 JEY851995 JOU851995 JYQ851995 KIM851995 KSI851995 LCE851995 LMA851995 LVW851995 MFS851995 MPO851995 MZK851995 NJG851995 NTC851995 OCY851995 OMU851995 OWQ851995 PGM851995 PQI851995 QAE851995 QKA851995 QTW851995 RDS851995 RNO851995 RXK851995 SHG851995 SRC851995 TAY851995 TKU851995 TUQ851995 UEM851995 UOI851995 UYE851995 VIA851995 VRW851995 WBS851995 WLO851995 WVK851995 C917531 IY917531 SU917531 ACQ917531 AMM917531 AWI917531 BGE917531 BQA917531 BZW917531 CJS917531 CTO917531 DDK917531 DNG917531 DXC917531 EGY917531 EQU917531 FAQ917531 FKM917531 FUI917531 GEE917531 GOA917531 GXW917531 HHS917531 HRO917531 IBK917531 ILG917531 IVC917531 JEY917531 JOU917531 JYQ917531 KIM917531 KSI917531 LCE917531 LMA917531 LVW917531 MFS917531 MPO917531 MZK917531 NJG917531 NTC917531 OCY917531 OMU917531 OWQ917531 PGM917531 PQI917531 QAE917531 QKA917531 QTW917531 RDS917531 RNO917531 RXK917531 SHG917531 SRC917531 TAY917531 TKU917531 TUQ917531 UEM917531 UOI917531 UYE917531 VIA917531 VRW917531 WBS917531 WLO917531 WVK917531 C983067 IY983067 SU983067 ACQ983067 AMM983067 AWI983067 BGE983067 BQA983067 BZW983067 CJS983067 CTO983067 DDK983067 DNG983067 DXC983067 EGY983067 EQU983067 FAQ983067 FKM983067 FUI983067 GEE983067 GOA983067 GXW983067 HHS983067 HRO983067 IBK983067 ILG983067 IVC983067 JEY983067 JOU983067 JYQ983067 KIM983067 KSI983067 LCE983067 LMA983067 LVW983067 MFS983067 MPO983067 MZK983067 NJG983067 NTC983067 OCY983067 OMU983067 OWQ983067 PGM983067 PQI983067 QAE983067 QKA983067 QTW983067 RDS983067 RNO983067 RXK983067 SHG983067 SRC983067 TAY983067 TKU983067 TUQ983067 UEM983067 UOI983067 UYE983067 VIA983067 VRW983067 WBS983067 WLO983067 WVK983067">
      <formula1>$K$16:$K$22</formula1>
    </dataValidation>
    <dataValidation type="list" allowBlank="1" showInputMessage="1" showErrorMessage="1" prompt="If the user inputs &quot;Yes&quot;, then the effects of sloshing of the liquid will be considered per ASCE 7-05, pages 168-169, for ground supported tanks and vessels (7a - 7f) and per API 650 Appendix E.  _x000a_" sqref="WVK98306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formula1>$K$23:$K$24</formula1>
    </dataValidation>
    <dataValidation allowBlank="1" showInputMessage="1" showErrorMessage="1" prompt="Program automatically selects Seismic Factor, &quot;I&quot; from ASCE 7-05 Table 11.5-1, page 116, based on the Occupancy Category selected." sqref="WVK98304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dataValidation type="list" allowBlank="1" showInputMessage="1" showErrorMessage="1"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formula1>$K$3:$K$6</formula1>
    </dataValidation>
    <dataValidation type="list" allowBlank="1" showInputMessage="1" showErrorMessage="1" prompt="When soil properties are not known in sufficient detail to determine the site class, Site Class D shall be used unless the building official determines that Class E or F soil is likely to be present at the site."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$K$10:$K$15</formula1>
    </dataValidation>
    <dataValidation type="decimal" operator="greaterThan" allowBlank="1" showInputMessage="1" showErrorMessage="1" sqref="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formula1>0</formula1>
    </dataValidation>
    <dataValidation allowBlank="1" showInputMessage="1" showErrorMessage="1" prompt="Location Zip Code can be used to determine Design Spectral Response Acceleration values, Ss and S1.  An earthquake Ground Motion Parameters Calculator may be used from the USGS website at: _x000a_http://earthquake.usgs.gov/designmaps/us/application.php" sqref="C11"/>
    <dataValidation allowBlank="1" showInputMessage="1" showErrorMessage="1" prompt="The 0.2 Sec. Mapped Spectral Response Acceleration value, Ss, can be determined either from ASCE 7-10 Figures 22-1 through 22-11, or by using the earthquake Ground Motion Parameters Calculator used from the USGS website._x000a_" sqref="C12"/>
    <dataValidation allowBlank="1" showInputMessage="1" showErrorMessage="1" prompt="The 1.0 Sec. Mapped Spectral Response Acceleration value, S1, can be determined either from ASCE 7-10 Figures 22-1 through 22-11 on, or by using the earthquake Ground Motion Parameters Calculator used from the USGS website." sqref="C13"/>
    <dataValidation allowBlank="1" showInputMessage="1" showErrorMessage="1" prompt="The long period transition period, TL, can be determined either by using Figure 22-15 through 22-20 on pages 228-233, or from USGS maps located at: http://earthquake.usgs.gov/hazards/designmaps/pdfs/?code=ASCE+7&amp;edition=2010" sqref="C14"/>
    <dataValidation type="list" allowBlank="1" showInputMessage="1" showErrorMessage="1" prompt="If the user inputs &quot;Yes&quot;, then the effects of sloshing of the liquid will be considered per ASCE 7-10, pages 152-153, for ground supported tanks and vessels (7a - 7f) and per API 650 Appendix E.  _x000a_" sqref="C26">
      <formula1>$K$23:$K$24</formula1>
    </dataValidation>
    <dataValidation allowBlank="1" showInputMessage="1" showErrorMessage="1" prompt="Program automatically selects Seismic Factor, &quot;I&quot; from ASCE 7-10 Table 1.5-1, based on the Risk Category selected." sqref="C9"/>
  </dataValidations>
  <hyperlinks>
    <hyperlink ref="AI2" r:id="rId1" display="http://earthquake.usgs.gov/research/hazmaps/"/>
    <hyperlink ref="AI2:AL2" r:id="rId2" display="http://earthquake.usgs.gov/research/hazmaps/"/>
    <hyperlink ref="AH9:AM9" r:id="rId3" display="http://earthquake.usgs.gov/designmaps/us/application.php"/>
    <hyperlink ref="AH6" r:id="rId4"/>
    <hyperlink ref="AH9" r:id="rId5" display="http://earthquake.usgs.gov/hazards/designmaps/javacalc.php"/>
  </hyperlinks>
  <pageMargins left="0.7" right="0.7" top="0.75" bottom="0.75" header="0.3" footer="0.3"/>
  <pageSetup scale="89" orientation="portrait" r:id="rId6"/>
  <headerFooter>
    <oddHeader>&amp;R"ASCE710E.xls" Program
Version 1.0</oddHeader>
    <oddFooter>&amp;C&amp;P of &amp;N&amp;R&amp;D  &amp;T</oddFooter>
  </headerFooter>
  <rowBreaks count="1" manualBreakCount="1">
    <brk id="56" max="32"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F388"/>
  <sheetViews>
    <sheetView zoomScaleNormal="100" workbookViewId="0">
      <selection activeCell="B4" sqref="B4:B5"/>
    </sheetView>
  </sheetViews>
  <sheetFormatPr defaultRowHeight="12.75"/>
  <cols>
    <col min="1" max="1" width="13.140625" style="728" customWidth="1"/>
    <col min="2" max="2" width="9.85546875" style="728" customWidth="1"/>
    <col min="3" max="3" width="12.28515625" style="728" customWidth="1"/>
    <col min="4" max="4" width="10.5703125" style="728" customWidth="1"/>
    <col min="5" max="5" width="9.7109375" style="728" customWidth="1"/>
    <col min="6" max="6" width="9.42578125" style="728" customWidth="1"/>
    <col min="7" max="7" width="9.140625" style="728"/>
    <col min="8" max="8" width="8.5703125" style="728" customWidth="1"/>
    <col min="9" max="9" width="10.7109375" style="728" customWidth="1"/>
    <col min="10" max="10" width="9.140625" style="1039" hidden="1" customWidth="1"/>
    <col min="11" max="11" width="13.7109375" style="1039" hidden="1" customWidth="1"/>
    <col min="12" max="12" width="24.7109375" style="1039" hidden="1" customWidth="1"/>
    <col min="13" max="14" width="12.7109375" style="1039" hidden="1" customWidth="1"/>
    <col min="15" max="15" width="12.7109375" style="1090" hidden="1" customWidth="1"/>
    <col min="16" max="17" width="12.7109375" style="1039" hidden="1" customWidth="1"/>
    <col min="18" max="19" width="9.140625" style="1039" hidden="1" customWidth="1"/>
    <col min="20" max="20" width="4.7109375" style="1039" hidden="1" customWidth="1"/>
    <col min="21" max="21" width="92.42578125" style="1039" hidden="1" customWidth="1"/>
    <col min="22" max="28" width="9.7109375" style="1039" hidden="1" customWidth="1"/>
    <col min="29" max="32" width="9.140625" style="1039" hidden="1" customWidth="1"/>
    <col min="33" max="33" width="11.7109375" style="77" customWidth="1"/>
    <col min="34" max="34" width="10.7109375" style="77" customWidth="1"/>
    <col min="35" max="35" width="12.85546875" style="77" customWidth="1"/>
    <col min="36" max="37" width="10.140625" style="77" customWidth="1"/>
    <col min="38" max="40" width="9.140625" style="77" customWidth="1"/>
    <col min="41" max="45" width="18.7109375" style="77" customWidth="1"/>
    <col min="46" max="48" width="5.7109375" style="77" customWidth="1"/>
    <col min="49" max="53" width="9.140625" style="77" customWidth="1"/>
    <col min="54" max="123" width="9.140625" style="758" customWidth="1"/>
    <col min="124" max="124" width="9.140625" style="775" customWidth="1"/>
    <col min="125" max="203" width="9.140625" style="758" customWidth="1"/>
    <col min="204" max="214" width="9.140625" style="758"/>
    <col min="215" max="256" width="9.140625" style="77"/>
    <col min="257" max="257" width="13.140625" style="77" customWidth="1"/>
    <col min="258" max="258" width="9.85546875" style="77" customWidth="1"/>
    <col min="259" max="259" width="12.28515625" style="77" customWidth="1"/>
    <col min="260" max="260" width="10.5703125" style="77" customWidth="1"/>
    <col min="261" max="261" width="9.7109375" style="77" customWidth="1"/>
    <col min="262" max="262" width="9.42578125" style="77" customWidth="1"/>
    <col min="263" max="263" width="9.140625" style="77"/>
    <col min="264" max="264" width="8.5703125" style="77" customWidth="1"/>
    <col min="265" max="265" width="10.7109375" style="77" customWidth="1"/>
    <col min="266" max="288" width="0" style="77" hidden="1" customWidth="1"/>
    <col min="289" max="290" width="9.140625" style="77" customWidth="1"/>
    <col min="291" max="291" width="12.85546875" style="77" customWidth="1"/>
    <col min="292" max="293" width="10.140625" style="77" customWidth="1"/>
    <col min="294" max="296" width="9.140625" style="77" customWidth="1"/>
    <col min="297" max="301" width="18.7109375" style="77" customWidth="1"/>
    <col min="302" max="304" width="5.7109375" style="77" customWidth="1"/>
    <col min="305" max="459" width="9.140625" style="77" customWidth="1"/>
    <col min="460" max="512" width="9.140625" style="77"/>
    <col min="513" max="513" width="13.140625" style="77" customWidth="1"/>
    <col min="514" max="514" width="9.85546875" style="77" customWidth="1"/>
    <col min="515" max="515" width="12.28515625" style="77" customWidth="1"/>
    <col min="516" max="516" width="10.5703125" style="77" customWidth="1"/>
    <col min="517" max="517" width="9.7109375" style="77" customWidth="1"/>
    <col min="518" max="518" width="9.42578125" style="77" customWidth="1"/>
    <col min="519" max="519" width="9.140625" style="77"/>
    <col min="520" max="520" width="8.5703125" style="77" customWidth="1"/>
    <col min="521" max="521" width="10.7109375" style="77" customWidth="1"/>
    <col min="522" max="544" width="0" style="77" hidden="1" customWidth="1"/>
    <col min="545" max="546" width="9.140625" style="77" customWidth="1"/>
    <col min="547" max="547" width="12.85546875" style="77" customWidth="1"/>
    <col min="548" max="549" width="10.140625" style="77" customWidth="1"/>
    <col min="550" max="552" width="9.140625" style="77" customWidth="1"/>
    <col min="553" max="557" width="18.7109375" style="77" customWidth="1"/>
    <col min="558" max="560" width="5.7109375" style="77" customWidth="1"/>
    <col min="561" max="715" width="9.140625" style="77" customWidth="1"/>
    <col min="716" max="768" width="9.140625" style="77"/>
    <col min="769" max="769" width="13.140625" style="77" customWidth="1"/>
    <col min="770" max="770" width="9.85546875" style="77" customWidth="1"/>
    <col min="771" max="771" width="12.28515625" style="77" customWidth="1"/>
    <col min="772" max="772" width="10.5703125" style="77" customWidth="1"/>
    <col min="773" max="773" width="9.7109375" style="77" customWidth="1"/>
    <col min="774" max="774" width="9.42578125" style="77" customWidth="1"/>
    <col min="775" max="775" width="9.140625" style="77"/>
    <col min="776" max="776" width="8.5703125" style="77" customWidth="1"/>
    <col min="777" max="777" width="10.7109375" style="77" customWidth="1"/>
    <col min="778" max="800" width="0" style="77" hidden="1" customWidth="1"/>
    <col min="801" max="802" width="9.140625" style="77" customWidth="1"/>
    <col min="803" max="803" width="12.85546875" style="77" customWidth="1"/>
    <col min="804" max="805" width="10.140625" style="77" customWidth="1"/>
    <col min="806" max="808" width="9.140625" style="77" customWidth="1"/>
    <col min="809" max="813" width="18.7109375" style="77" customWidth="1"/>
    <col min="814" max="816" width="5.7109375" style="77" customWidth="1"/>
    <col min="817" max="971" width="9.140625" style="77" customWidth="1"/>
    <col min="972" max="1024" width="9.140625" style="77"/>
    <col min="1025" max="1025" width="13.140625" style="77" customWidth="1"/>
    <col min="1026" max="1026" width="9.85546875" style="77" customWidth="1"/>
    <col min="1027" max="1027" width="12.28515625" style="77" customWidth="1"/>
    <col min="1028" max="1028" width="10.5703125" style="77" customWidth="1"/>
    <col min="1029" max="1029" width="9.7109375" style="77" customWidth="1"/>
    <col min="1030" max="1030" width="9.42578125" style="77" customWidth="1"/>
    <col min="1031" max="1031" width="9.140625" style="77"/>
    <col min="1032" max="1032" width="8.5703125" style="77" customWidth="1"/>
    <col min="1033" max="1033" width="10.7109375" style="77" customWidth="1"/>
    <col min="1034" max="1056" width="0" style="77" hidden="1" customWidth="1"/>
    <col min="1057" max="1058" width="9.140625" style="77" customWidth="1"/>
    <col min="1059" max="1059" width="12.85546875" style="77" customWidth="1"/>
    <col min="1060" max="1061" width="10.140625" style="77" customWidth="1"/>
    <col min="1062" max="1064" width="9.140625" style="77" customWidth="1"/>
    <col min="1065" max="1069" width="18.7109375" style="77" customWidth="1"/>
    <col min="1070" max="1072" width="5.7109375" style="77" customWidth="1"/>
    <col min="1073" max="1227" width="9.140625" style="77" customWidth="1"/>
    <col min="1228" max="1280" width="9.140625" style="77"/>
    <col min="1281" max="1281" width="13.140625" style="77" customWidth="1"/>
    <col min="1282" max="1282" width="9.85546875" style="77" customWidth="1"/>
    <col min="1283" max="1283" width="12.28515625" style="77" customWidth="1"/>
    <col min="1284" max="1284" width="10.5703125" style="77" customWidth="1"/>
    <col min="1285" max="1285" width="9.7109375" style="77" customWidth="1"/>
    <col min="1286" max="1286" width="9.42578125" style="77" customWidth="1"/>
    <col min="1287" max="1287" width="9.140625" style="77"/>
    <col min="1288" max="1288" width="8.5703125" style="77" customWidth="1"/>
    <col min="1289" max="1289" width="10.7109375" style="77" customWidth="1"/>
    <col min="1290" max="1312" width="0" style="77" hidden="1" customWidth="1"/>
    <col min="1313" max="1314" width="9.140625" style="77" customWidth="1"/>
    <col min="1315" max="1315" width="12.85546875" style="77" customWidth="1"/>
    <col min="1316" max="1317" width="10.140625" style="77" customWidth="1"/>
    <col min="1318" max="1320" width="9.140625" style="77" customWidth="1"/>
    <col min="1321" max="1325" width="18.7109375" style="77" customWidth="1"/>
    <col min="1326" max="1328" width="5.7109375" style="77" customWidth="1"/>
    <col min="1329" max="1483" width="9.140625" style="77" customWidth="1"/>
    <col min="1484" max="1536" width="9.140625" style="77"/>
    <col min="1537" max="1537" width="13.140625" style="77" customWidth="1"/>
    <col min="1538" max="1538" width="9.85546875" style="77" customWidth="1"/>
    <col min="1539" max="1539" width="12.28515625" style="77" customWidth="1"/>
    <col min="1540" max="1540" width="10.5703125" style="77" customWidth="1"/>
    <col min="1541" max="1541" width="9.7109375" style="77" customWidth="1"/>
    <col min="1542" max="1542" width="9.42578125" style="77" customWidth="1"/>
    <col min="1543" max="1543" width="9.140625" style="77"/>
    <col min="1544" max="1544" width="8.5703125" style="77" customWidth="1"/>
    <col min="1545" max="1545" width="10.7109375" style="77" customWidth="1"/>
    <col min="1546" max="1568" width="0" style="77" hidden="1" customWidth="1"/>
    <col min="1569" max="1570" width="9.140625" style="77" customWidth="1"/>
    <col min="1571" max="1571" width="12.85546875" style="77" customWidth="1"/>
    <col min="1572" max="1573" width="10.140625" style="77" customWidth="1"/>
    <col min="1574" max="1576" width="9.140625" style="77" customWidth="1"/>
    <col min="1577" max="1581" width="18.7109375" style="77" customWidth="1"/>
    <col min="1582" max="1584" width="5.7109375" style="77" customWidth="1"/>
    <col min="1585" max="1739" width="9.140625" style="77" customWidth="1"/>
    <col min="1740" max="1792" width="9.140625" style="77"/>
    <col min="1793" max="1793" width="13.140625" style="77" customWidth="1"/>
    <col min="1794" max="1794" width="9.85546875" style="77" customWidth="1"/>
    <col min="1795" max="1795" width="12.28515625" style="77" customWidth="1"/>
    <col min="1796" max="1796" width="10.5703125" style="77" customWidth="1"/>
    <col min="1797" max="1797" width="9.7109375" style="77" customWidth="1"/>
    <col min="1798" max="1798" width="9.42578125" style="77" customWidth="1"/>
    <col min="1799" max="1799" width="9.140625" style="77"/>
    <col min="1800" max="1800" width="8.5703125" style="77" customWidth="1"/>
    <col min="1801" max="1801" width="10.7109375" style="77" customWidth="1"/>
    <col min="1802" max="1824" width="0" style="77" hidden="1" customWidth="1"/>
    <col min="1825" max="1826" width="9.140625" style="77" customWidth="1"/>
    <col min="1827" max="1827" width="12.85546875" style="77" customWidth="1"/>
    <col min="1828" max="1829" width="10.140625" style="77" customWidth="1"/>
    <col min="1830" max="1832" width="9.140625" style="77" customWidth="1"/>
    <col min="1833" max="1837" width="18.7109375" style="77" customWidth="1"/>
    <col min="1838" max="1840" width="5.7109375" style="77" customWidth="1"/>
    <col min="1841" max="1995" width="9.140625" style="77" customWidth="1"/>
    <col min="1996" max="2048" width="9.140625" style="77"/>
    <col min="2049" max="2049" width="13.140625" style="77" customWidth="1"/>
    <col min="2050" max="2050" width="9.85546875" style="77" customWidth="1"/>
    <col min="2051" max="2051" width="12.28515625" style="77" customWidth="1"/>
    <col min="2052" max="2052" width="10.5703125" style="77" customWidth="1"/>
    <col min="2053" max="2053" width="9.7109375" style="77" customWidth="1"/>
    <col min="2054" max="2054" width="9.42578125" style="77" customWidth="1"/>
    <col min="2055" max="2055" width="9.140625" style="77"/>
    <col min="2056" max="2056" width="8.5703125" style="77" customWidth="1"/>
    <col min="2057" max="2057" width="10.7109375" style="77" customWidth="1"/>
    <col min="2058" max="2080" width="0" style="77" hidden="1" customWidth="1"/>
    <col min="2081" max="2082" width="9.140625" style="77" customWidth="1"/>
    <col min="2083" max="2083" width="12.85546875" style="77" customWidth="1"/>
    <col min="2084" max="2085" width="10.140625" style="77" customWidth="1"/>
    <col min="2086" max="2088" width="9.140625" style="77" customWidth="1"/>
    <col min="2089" max="2093" width="18.7109375" style="77" customWidth="1"/>
    <col min="2094" max="2096" width="5.7109375" style="77" customWidth="1"/>
    <col min="2097" max="2251" width="9.140625" style="77" customWidth="1"/>
    <col min="2252" max="2304" width="9.140625" style="77"/>
    <col min="2305" max="2305" width="13.140625" style="77" customWidth="1"/>
    <col min="2306" max="2306" width="9.85546875" style="77" customWidth="1"/>
    <col min="2307" max="2307" width="12.28515625" style="77" customWidth="1"/>
    <col min="2308" max="2308" width="10.5703125" style="77" customWidth="1"/>
    <col min="2309" max="2309" width="9.7109375" style="77" customWidth="1"/>
    <col min="2310" max="2310" width="9.42578125" style="77" customWidth="1"/>
    <col min="2311" max="2311" width="9.140625" style="77"/>
    <col min="2312" max="2312" width="8.5703125" style="77" customWidth="1"/>
    <col min="2313" max="2313" width="10.7109375" style="77" customWidth="1"/>
    <col min="2314" max="2336" width="0" style="77" hidden="1" customWidth="1"/>
    <col min="2337" max="2338" width="9.140625" style="77" customWidth="1"/>
    <col min="2339" max="2339" width="12.85546875" style="77" customWidth="1"/>
    <col min="2340" max="2341" width="10.140625" style="77" customWidth="1"/>
    <col min="2342" max="2344" width="9.140625" style="77" customWidth="1"/>
    <col min="2345" max="2349" width="18.7109375" style="77" customWidth="1"/>
    <col min="2350" max="2352" width="5.7109375" style="77" customWidth="1"/>
    <col min="2353" max="2507" width="9.140625" style="77" customWidth="1"/>
    <col min="2508" max="2560" width="9.140625" style="77"/>
    <col min="2561" max="2561" width="13.140625" style="77" customWidth="1"/>
    <col min="2562" max="2562" width="9.85546875" style="77" customWidth="1"/>
    <col min="2563" max="2563" width="12.28515625" style="77" customWidth="1"/>
    <col min="2564" max="2564" width="10.5703125" style="77" customWidth="1"/>
    <col min="2565" max="2565" width="9.7109375" style="77" customWidth="1"/>
    <col min="2566" max="2566" width="9.42578125" style="77" customWidth="1"/>
    <col min="2567" max="2567" width="9.140625" style="77"/>
    <col min="2568" max="2568" width="8.5703125" style="77" customWidth="1"/>
    <col min="2569" max="2569" width="10.7109375" style="77" customWidth="1"/>
    <col min="2570" max="2592" width="0" style="77" hidden="1" customWidth="1"/>
    <col min="2593" max="2594" width="9.140625" style="77" customWidth="1"/>
    <col min="2595" max="2595" width="12.85546875" style="77" customWidth="1"/>
    <col min="2596" max="2597" width="10.140625" style="77" customWidth="1"/>
    <col min="2598" max="2600" width="9.140625" style="77" customWidth="1"/>
    <col min="2601" max="2605" width="18.7109375" style="77" customWidth="1"/>
    <col min="2606" max="2608" width="5.7109375" style="77" customWidth="1"/>
    <col min="2609" max="2763" width="9.140625" style="77" customWidth="1"/>
    <col min="2764" max="2816" width="9.140625" style="77"/>
    <col min="2817" max="2817" width="13.140625" style="77" customWidth="1"/>
    <col min="2818" max="2818" width="9.85546875" style="77" customWidth="1"/>
    <col min="2819" max="2819" width="12.28515625" style="77" customWidth="1"/>
    <col min="2820" max="2820" width="10.5703125" style="77" customWidth="1"/>
    <col min="2821" max="2821" width="9.7109375" style="77" customWidth="1"/>
    <col min="2822" max="2822" width="9.42578125" style="77" customWidth="1"/>
    <col min="2823" max="2823" width="9.140625" style="77"/>
    <col min="2824" max="2824" width="8.5703125" style="77" customWidth="1"/>
    <col min="2825" max="2825" width="10.7109375" style="77" customWidth="1"/>
    <col min="2826" max="2848" width="0" style="77" hidden="1" customWidth="1"/>
    <col min="2849" max="2850" width="9.140625" style="77" customWidth="1"/>
    <col min="2851" max="2851" width="12.85546875" style="77" customWidth="1"/>
    <col min="2852" max="2853" width="10.140625" style="77" customWidth="1"/>
    <col min="2854" max="2856" width="9.140625" style="77" customWidth="1"/>
    <col min="2857" max="2861" width="18.7109375" style="77" customWidth="1"/>
    <col min="2862" max="2864" width="5.7109375" style="77" customWidth="1"/>
    <col min="2865" max="3019" width="9.140625" style="77" customWidth="1"/>
    <col min="3020" max="3072" width="9.140625" style="77"/>
    <col min="3073" max="3073" width="13.140625" style="77" customWidth="1"/>
    <col min="3074" max="3074" width="9.85546875" style="77" customWidth="1"/>
    <col min="3075" max="3075" width="12.28515625" style="77" customWidth="1"/>
    <col min="3076" max="3076" width="10.5703125" style="77" customWidth="1"/>
    <col min="3077" max="3077" width="9.7109375" style="77" customWidth="1"/>
    <col min="3078" max="3078" width="9.42578125" style="77" customWidth="1"/>
    <col min="3079" max="3079" width="9.140625" style="77"/>
    <col min="3080" max="3080" width="8.5703125" style="77" customWidth="1"/>
    <col min="3081" max="3081" width="10.7109375" style="77" customWidth="1"/>
    <col min="3082" max="3104" width="0" style="77" hidden="1" customWidth="1"/>
    <col min="3105" max="3106" width="9.140625" style="77" customWidth="1"/>
    <col min="3107" max="3107" width="12.85546875" style="77" customWidth="1"/>
    <col min="3108" max="3109" width="10.140625" style="77" customWidth="1"/>
    <col min="3110" max="3112" width="9.140625" style="77" customWidth="1"/>
    <col min="3113" max="3117" width="18.7109375" style="77" customWidth="1"/>
    <col min="3118" max="3120" width="5.7109375" style="77" customWidth="1"/>
    <col min="3121" max="3275" width="9.140625" style="77" customWidth="1"/>
    <col min="3276" max="3328" width="9.140625" style="77"/>
    <col min="3329" max="3329" width="13.140625" style="77" customWidth="1"/>
    <col min="3330" max="3330" width="9.85546875" style="77" customWidth="1"/>
    <col min="3331" max="3331" width="12.28515625" style="77" customWidth="1"/>
    <col min="3332" max="3332" width="10.5703125" style="77" customWidth="1"/>
    <col min="3333" max="3333" width="9.7109375" style="77" customWidth="1"/>
    <col min="3334" max="3334" width="9.42578125" style="77" customWidth="1"/>
    <col min="3335" max="3335" width="9.140625" style="77"/>
    <col min="3336" max="3336" width="8.5703125" style="77" customWidth="1"/>
    <col min="3337" max="3337" width="10.7109375" style="77" customWidth="1"/>
    <col min="3338" max="3360" width="0" style="77" hidden="1" customWidth="1"/>
    <col min="3361" max="3362" width="9.140625" style="77" customWidth="1"/>
    <col min="3363" max="3363" width="12.85546875" style="77" customWidth="1"/>
    <col min="3364" max="3365" width="10.140625" style="77" customWidth="1"/>
    <col min="3366" max="3368" width="9.140625" style="77" customWidth="1"/>
    <col min="3369" max="3373" width="18.7109375" style="77" customWidth="1"/>
    <col min="3374" max="3376" width="5.7109375" style="77" customWidth="1"/>
    <col min="3377" max="3531" width="9.140625" style="77" customWidth="1"/>
    <col min="3532" max="3584" width="9.140625" style="77"/>
    <col min="3585" max="3585" width="13.140625" style="77" customWidth="1"/>
    <col min="3586" max="3586" width="9.85546875" style="77" customWidth="1"/>
    <col min="3587" max="3587" width="12.28515625" style="77" customWidth="1"/>
    <col min="3588" max="3588" width="10.5703125" style="77" customWidth="1"/>
    <col min="3589" max="3589" width="9.7109375" style="77" customWidth="1"/>
    <col min="3590" max="3590" width="9.42578125" style="77" customWidth="1"/>
    <col min="3591" max="3591" width="9.140625" style="77"/>
    <col min="3592" max="3592" width="8.5703125" style="77" customWidth="1"/>
    <col min="3593" max="3593" width="10.7109375" style="77" customWidth="1"/>
    <col min="3594" max="3616" width="0" style="77" hidden="1" customWidth="1"/>
    <col min="3617" max="3618" width="9.140625" style="77" customWidth="1"/>
    <col min="3619" max="3619" width="12.85546875" style="77" customWidth="1"/>
    <col min="3620" max="3621" width="10.140625" style="77" customWidth="1"/>
    <col min="3622" max="3624" width="9.140625" style="77" customWidth="1"/>
    <col min="3625" max="3629" width="18.7109375" style="77" customWidth="1"/>
    <col min="3630" max="3632" width="5.7109375" style="77" customWidth="1"/>
    <col min="3633" max="3787" width="9.140625" style="77" customWidth="1"/>
    <col min="3788" max="3840" width="9.140625" style="77"/>
    <col min="3841" max="3841" width="13.140625" style="77" customWidth="1"/>
    <col min="3842" max="3842" width="9.85546875" style="77" customWidth="1"/>
    <col min="3843" max="3843" width="12.28515625" style="77" customWidth="1"/>
    <col min="3844" max="3844" width="10.5703125" style="77" customWidth="1"/>
    <col min="3845" max="3845" width="9.7109375" style="77" customWidth="1"/>
    <col min="3846" max="3846" width="9.42578125" style="77" customWidth="1"/>
    <col min="3847" max="3847" width="9.140625" style="77"/>
    <col min="3848" max="3848" width="8.5703125" style="77" customWidth="1"/>
    <col min="3849" max="3849" width="10.7109375" style="77" customWidth="1"/>
    <col min="3850" max="3872" width="0" style="77" hidden="1" customWidth="1"/>
    <col min="3873" max="3874" width="9.140625" style="77" customWidth="1"/>
    <col min="3875" max="3875" width="12.85546875" style="77" customWidth="1"/>
    <col min="3876" max="3877" width="10.140625" style="77" customWidth="1"/>
    <col min="3878" max="3880" width="9.140625" style="77" customWidth="1"/>
    <col min="3881" max="3885" width="18.7109375" style="77" customWidth="1"/>
    <col min="3886" max="3888" width="5.7109375" style="77" customWidth="1"/>
    <col min="3889" max="4043" width="9.140625" style="77" customWidth="1"/>
    <col min="4044" max="4096" width="9.140625" style="77"/>
    <col min="4097" max="4097" width="13.140625" style="77" customWidth="1"/>
    <col min="4098" max="4098" width="9.85546875" style="77" customWidth="1"/>
    <col min="4099" max="4099" width="12.28515625" style="77" customWidth="1"/>
    <col min="4100" max="4100" width="10.5703125" style="77" customWidth="1"/>
    <col min="4101" max="4101" width="9.7109375" style="77" customWidth="1"/>
    <col min="4102" max="4102" width="9.42578125" style="77" customWidth="1"/>
    <col min="4103" max="4103" width="9.140625" style="77"/>
    <col min="4104" max="4104" width="8.5703125" style="77" customWidth="1"/>
    <col min="4105" max="4105" width="10.7109375" style="77" customWidth="1"/>
    <col min="4106" max="4128" width="0" style="77" hidden="1" customWidth="1"/>
    <col min="4129" max="4130" width="9.140625" style="77" customWidth="1"/>
    <col min="4131" max="4131" width="12.85546875" style="77" customWidth="1"/>
    <col min="4132" max="4133" width="10.140625" style="77" customWidth="1"/>
    <col min="4134" max="4136" width="9.140625" style="77" customWidth="1"/>
    <col min="4137" max="4141" width="18.7109375" style="77" customWidth="1"/>
    <col min="4142" max="4144" width="5.7109375" style="77" customWidth="1"/>
    <col min="4145" max="4299" width="9.140625" style="77" customWidth="1"/>
    <col min="4300" max="4352" width="9.140625" style="77"/>
    <col min="4353" max="4353" width="13.140625" style="77" customWidth="1"/>
    <col min="4354" max="4354" width="9.85546875" style="77" customWidth="1"/>
    <col min="4355" max="4355" width="12.28515625" style="77" customWidth="1"/>
    <col min="4356" max="4356" width="10.5703125" style="77" customWidth="1"/>
    <col min="4357" max="4357" width="9.7109375" style="77" customWidth="1"/>
    <col min="4358" max="4358" width="9.42578125" style="77" customWidth="1"/>
    <col min="4359" max="4359" width="9.140625" style="77"/>
    <col min="4360" max="4360" width="8.5703125" style="77" customWidth="1"/>
    <col min="4361" max="4361" width="10.7109375" style="77" customWidth="1"/>
    <col min="4362" max="4384" width="0" style="77" hidden="1" customWidth="1"/>
    <col min="4385" max="4386" width="9.140625" style="77" customWidth="1"/>
    <col min="4387" max="4387" width="12.85546875" style="77" customWidth="1"/>
    <col min="4388" max="4389" width="10.140625" style="77" customWidth="1"/>
    <col min="4390" max="4392" width="9.140625" style="77" customWidth="1"/>
    <col min="4393" max="4397" width="18.7109375" style="77" customWidth="1"/>
    <col min="4398" max="4400" width="5.7109375" style="77" customWidth="1"/>
    <col min="4401" max="4555" width="9.140625" style="77" customWidth="1"/>
    <col min="4556" max="4608" width="9.140625" style="77"/>
    <col min="4609" max="4609" width="13.140625" style="77" customWidth="1"/>
    <col min="4610" max="4610" width="9.85546875" style="77" customWidth="1"/>
    <col min="4611" max="4611" width="12.28515625" style="77" customWidth="1"/>
    <col min="4612" max="4612" width="10.5703125" style="77" customWidth="1"/>
    <col min="4613" max="4613" width="9.7109375" style="77" customWidth="1"/>
    <col min="4614" max="4614" width="9.42578125" style="77" customWidth="1"/>
    <col min="4615" max="4615" width="9.140625" style="77"/>
    <col min="4616" max="4616" width="8.5703125" style="77" customWidth="1"/>
    <col min="4617" max="4617" width="10.7109375" style="77" customWidth="1"/>
    <col min="4618" max="4640" width="0" style="77" hidden="1" customWidth="1"/>
    <col min="4641" max="4642" width="9.140625" style="77" customWidth="1"/>
    <col min="4643" max="4643" width="12.85546875" style="77" customWidth="1"/>
    <col min="4644" max="4645" width="10.140625" style="77" customWidth="1"/>
    <col min="4646" max="4648" width="9.140625" style="77" customWidth="1"/>
    <col min="4649" max="4653" width="18.7109375" style="77" customWidth="1"/>
    <col min="4654" max="4656" width="5.7109375" style="77" customWidth="1"/>
    <col min="4657" max="4811" width="9.140625" style="77" customWidth="1"/>
    <col min="4812" max="4864" width="9.140625" style="77"/>
    <col min="4865" max="4865" width="13.140625" style="77" customWidth="1"/>
    <col min="4866" max="4866" width="9.85546875" style="77" customWidth="1"/>
    <col min="4867" max="4867" width="12.28515625" style="77" customWidth="1"/>
    <col min="4868" max="4868" width="10.5703125" style="77" customWidth="1"/>
    <col min="4869" max="4869" width="9.7109375" style="77" customWidth="1"/>
    <col min="4870" max="4870" width="9.42578125" style="77" customWidth="1"/>
    <col min="4871" max="4871" width="9.140625" style="77"/>
    <col min="4872" max="4872" width="8.5703125" style="77" customWidth="1"/>
    <col min="4873" max="4873" width="10.7109375" style="77" customWidth="1"/>
    <col min="4874" max="4896" width="0" style="77" hidden="1" customWidth="1"/>
    <col min="4897" max="4898" width="9.140625" style="77" customWidth="1"/>
    <col min="4899" max="4899" width="12.85546875" style="77" customWidth="1"/>
    <col min="4900" max="4901" width="10.140625" style="77" customWidth="1"/>
    <col min="4902" max="4904" width="9.140625" style="77" customWidth="1"/>
    <col min="4905" max="4909" width="18.7109375" style="77" customWidth="1"/>
    <col min="4910" max="4912" width="5.7109375" style="77" customWidth="1"/>
    <col min="4913" max="5067" width="9.140625" style="77" customWidth="1"/>
    <col min="5068" max="5120" width="9.140625" style="77"/>
    <col min="5121" max="5121" width="13.140625" style="77" customWidth="1"/>
    <col min="5122" max="5122" width="9.85546875" style="77" customWidth="1"/>
    <col min="5123" max="5123" width="12.28515625" style="77" customWidth="1"/>
    <col min="5124" max="5124" width="10.5703125" style="77" customWidth="1"/>
    <col min="5125" max="5125" width="9.7109375" style="77" customWidth="1"/>
    <col min="5126" max="5126" width="9.42578125" style="77" customWidth="1"/>
    <col min="5127" max="5127" width="9.140625" style="77"/>
    <col min="5128" max="5128" width="8.5703125" style="77" customWidth="1"/>
    <col min="5129" max="5129" width="10.7109375" style="77" customWidth="1"/>
    <col min="5130" max="5152" width="0" style="77" hidden="1" customWidth="1"/>
    <col min="5153" max="5154" width="9.140625" style="77" customWidth="1"/>
    <col min="5155" max="5155" width="12.85546875" style="77" customWidth="1"/>
    <col min="5156" max="5157" width="10.140625" style="77" customWidth="1"/>
    <col min="5158" max="5160" width="9.140625" style="77" customWidth="1"/>
    <col min="5161" max="5165" width="18.7109375" style="77" customWidth="1"/>
    <col min="5166" max="5168" width="5.7109375" style="77" customWidth="1"/>
    <col min="5169" max="5323" width="9.140625" style="77" customWidth="1"/>
    <col min="5324" max="5376" width="9.140625" style="77"/>
    <col min="5377" max="5377" width="13.140625" style="77" customWidth="1"/>
    <col min="5378" max="5378" width="9.85546875" style="77" customWidth="1"/>
    <col min="5379" max="5379" width="12.28515625" style="77" customWidth="1"/>
    <col min="5380" max="5380" width="10.5703125" style="77" customWidth="1"/>
    <col min="5381" max="5381" width="9.7109375" style="77" customWidth="1"/>
    <col min="5382" max="5382" width="9.42578125" style="77" customWidth="1"/>
    <col min="5383" max="5383" width="9.140625" style="77"/>
    <col min="5384" max="5384" width="8.5703125" style="77" customWidth="1"/>
    <col min="5385" max="5385" width="10.7109375" style="77" customWidth="1"/>
    <col min="5386" max="5408" width="0" style="77" hidden="1" customWidth="1"/>
    <col min="5409" max="5410" width="9.140625" style="77" customWidth="1"/>
    <col min="5411" max="5411" width="12.85546875" style="77" customWidth="1"/>
    <col min="5412" max="5413" width="10.140625" style="77" customWidth="1"/>
    <col min="5414" max="5416" width="9.140625" style="77" customWidth="1"/>
    <col min="5417" max="5421" width="18.7109375" style="77" customWidth="1"/>
    <col min="5422" max="5424" width="5.7109375" style="77" customWidth="1"/>
    <col min="5425" max="5579" width="9.140625" style="77" customWidth="1"/>
    <col min="5580" max="5632" width="9.140625" style="77"/>
    <col min="5633" max="5633" width="13.140625" style="77" customWidth="1"/>
    <col min="5634" max="5634" width="9.85546875" style="77" customWidth="1"/>
    <col min="5635" max="5635" width="12.28515625" style="77" customWidth="1"/>
    <col min="5636" max="5636" width="10.5703125" style="77" customWidth="1"/>
    <col min="5637" max="5637" width="9.7109375" style="77" customWidth="1"/>
    <col min="5638" max="5638" width="9.42578125" style="77" customWidth="1"/>
    <col min="5639" max="5639" width="9.140625" style="77"/>
    <col min="5640" max="5640" width="8.5703125" style="77" customWidth="1"/>
    <col min="5641" max="5641" width="10.7109375" style="77" customWidth="1"/>
    <col min="5642" max="5664" width="0" style="77" hidden="1" customWidth="1"/>
    <col min="5665" max="5666" width="9.140625" style="77" customWidth="1"/>
    <col min="5667" max="5667" width="12.85546875" style="77" customWidth="1"/>
    <col min="5668" max="5669" width="10.140625" style="77" customWidth="1"/>
    <col min="5670" max="5672" width="9.140625" style="77" customWidth="1"/>
    <col min="5673" max="5677" width="18.7109375" style="77" customWidth="1"/>
    <col min="5678" max="5680" width="5.7109375" style="77" customWidth="1"/>
    <col min="5681" max="5835" width="9.140625" style="77" customWidth="1"/>
    <col min="5836" max="5888" width="9.140625" style="77"/>
    <col min="5889" max="5889" width="13.140625" style="77" customWidth="1"/>
    <col min="5890" max="5890" width="9.85546875" style="77" customWidth="1"/>
    <col min="5891" max="5891" width="12.28515625" style="77" customWidth="1"/>
    <col min="5892" max="5892" width="10.5703125" style="77" customWidth="1"/>
    <col min="5893" max="5893" width="9.7109375" style="77" customWidth="1"/>
    <col min="5894" max="5894" width="9.42578125" style="77" customWidth="1"/>
    <col min="5895" max="5895" width="9.140625" style="77"/>
    <col min="5896" max="5896" width="8.5703125" style="77" customWidth="1"/>
    <col min="5897" max="5897" width="10.7109375" style="77" customWidth="1"/>
    <col min="5898" max="5920" width="0" style="77" hidden="1" customWidth="1"/>
    <col min="5921" max="5922" width="9.140625" style="77" customWidth="1"/>
    <col min="5923" max="5923" width="12.85546875" style="77" customWidth="1"/>
    <col min="5924" max="5925" width="10.140625" style="77" customWidth="1"/>
    <col min="5926" max="5928" width="9.140625" style="77" customWidth="1"/>
    <col min="5929" max="5933" width="18.7109375" style="77" customWidth="1"/>
    <col min="5934" max="5936" width="5.7109375" style="77" customWidth="1"/>
    <col min="5937" max="6091" width="9.140625" style="77" customWidth="1"/>
    <col min="6092" max="6144" width="9.140625" style="77"/>
    <col min="6145" max="6145" width="13.140625" style="77" customWidth="1"/>
    <col min="6146" max="6146" width="9.85546875" style="77" customWidth="1"/>
    <col min="6147" max="6147" width="12.28515625" style="77" customWidth="1"/>
    <col min="6148" max="6148" width="10.5703125" style="77" customWidth="1"/>
    <col min="6149" max="6149" width="9.7109375" style="77" customWidth="1"/>
    <col min="6150" max="6150" width="9.42578125" style="77" customWidth="1"/>
    <col min="6151" max="6151" width="9.140625" style="77"/>
    <col min="6152" max="6152" width="8.5703125" style="77" customWidth="1"/>
    <col min="6153" max="6153" width="10.7109375" style="77" customWidth="1"/>
    <col min="6154" max="6176" width="0" style="77" hidden="1" customWidth="1"/>
    <col min="6177" max="6178" width="9.140625" style="77" customWidth="1"/>
    <col min="6179" max="6179" width="12.85546875" style="77" customWidth="1"/>
    <col min="6180" max="6181" width="10.140625" style="77" customWidth="1"/>
    <col min="6182" max="6184" width="9.140625" style="77" customWidth="1"/>
    <col min="6185" max="6189" width="18.7109375" style="77" customWidth="1"/>
    <col min="6190" max="6192" width="5.7109375" style="77" customWidth="1"/>
    <col min="6193" max="6347" width="9.140625" style="77" customWidth="1"/>
    <col min="6348" max="6400" width="9.140625" style="77"/>
    <col min="6401" max="6401" width="13.140625" style="77" customWidth="1"/>
    <col min="6402" max="6402" width="9.85546875" style="77" customWidth="1"/>
    <col min="6403" max="6403" width="12.28515625" style="77" customWidth="1"/>
    <col min="6404" max="6404" width="10.5703125" style="77" customWidth="1"/>
    <col min="6405" max="6405" width="9.7109375" style="77" customWidth="1"/>
    <col min="6406" max="6406" width="9.42578125" style="77" customWidth="1"/>
    <col min="6407" max="6407" width="9.140625" style="77"/>
    <col min="6408" max="6408" width="8.5703125" style="77" customWidth="1"/>
    <col min="6409" max="6409" width="10.7109375" style="77" customWidth="1"/>
    <col min="6410" max="6432" width="0" style="77" hidden="1" customWidth="1"/>
    <col min="6433" max="6434" width="9.140625" style="77" customWidth="1"/>
    <col min="6435" max="6435" width="12.85546875" style="77" customWidth="1"/>
    <col min="6436" max="6437" width="10.140625" style="77" customWidth="1"/>
    <col min="6438" max="6440" width="9.140625" style="77" customWidth="1"/>
    <col min="6441" max="6445" width="18.7109375" style="77" customWidth="1"/>
    <col min="6446" max="6448" width="5.7109375" style="77" customWidth="1"/>
    <col min="6449" max="6603" width="9.140625" style="77" customWidth="1"/>
    <col min="6604" max="6656" width="9.140625" style="77"/>
    <col min="6657" max="6657" width="13.140625" style="77" customWidth="1"/>
    <col min="6658" max="6658" width="9.85546875" style="77" customWidth="1"/>
    <col min="6659" max="6659" width="12.28515625" style="77" customWidth="1"/>
    <col min="6660" max="6660" width="10.5703125" style="77" customWidth="1"/>
    <col min="6661" max="6661" width="9.7109375" style="77" customWidth="1"/>
    <col min="6662" max="6662" width="9.42578125" style="77" customWidth="1"/>
    <col min="6663" max="6663" width="9.140625" style="77"/>
    <col min="6664" max="6664" width="8.5703125" style="77" customWidth="1"/>
    <col min="6665" max="6665" width="10.7109375" style="77" customWidth="1"/>
    <col min="6666" max="6688" width="0" style="77" hidden="1" customWidth="1"/>
    <col min="6689" max="6690" width="9.140625" style="77" customWidth="1"/>
    <col min="6691" max="6691" width="12.85546875" style="77" customWidth="1"/>
    <col min="6692" max="6693" width="10.140625" style="77" customWidth="1"/>
    <col min="6694" max="6696" width="9.140625" style="77" customWidth="1"/>
    <col min="6697" max="6701" width="18.7109375" style="77" customWidth="1"/>
    <col min="6702" max="6704" width="5.7109375" style="77" customWidth="1"/>
    <col min="6705" max="6859" width="9.140625" style="77" customWidth="1"/>
    <col min="6860" max="6912" width="9.140625" style="77"/>
    <col min="6913" max="6913" width="13.140625" style="77" customWidth="1"/>
    <col min="6914" max="6914" width="9.85546875" style="77" customWidth="1"/>
    <col min="6915" max="6915" width="12.28515625" style="77" customWidth="1"/>
    <col min="6916" max="6916" width="10.5703125" style="77" customWidth="1"/>
    <col min="6917" max="6917" width="9.7109375" style="77" customWidth="1"/>
    <col min="6918" max="6918" width="9.42578125" style="77" customWidth="1"/>
    <col min="6919" max="6919" width="9.140625" style="77"/>
    <col min="6920" max="6920" width="8.5703125" style="77" customWidth="1"/>
    <col min="6921" max="6921" width="10.7109375" style="77" customWidth="1"/>
    <col min="6922" max="6944" width="0" style="77" hidden="1" customWidth="1"/>
    <col min="6945" max="6946" width="9.140625" style="77" customWidth="1"/>
    <col min="6947" max="6947" width="12.85546875" style="77" customWidth="1"/>
    <col min="6948" max="6949" width="10.140625" style="77" customWidth="1"/>
    <col min="6950" max="6952" width="9.140625" style="77" customWidth="1"/>
    <col min="6953" max="6957" width="18.7109375" style="77" customWidth="1"/>
    <col min="6958" max="6960" width="5.7109375" style="77" customWidth="1"/>
    <col min="6961" max="7115" width="9.140625" style="77" customWidth="1"/>
    <col min="7116" max="7168" width="9.140625" style="77"/>
    <col min="7169" max="7169" width="13.140625" style="77" customWidth="1"/>
    <col min="7170" max="7170" width="9.85546875" style="77" customWidth="1"/>
    <col min="7171" max="7171" width="12.28515625" style="77" customWidth="1"/>
    <col min="7172" max="7172" width="10.5703125" style="77" customWidth="1"/>
    <col min="7173" max="7173" width="9.7109375" style="77" customWidth="1"/>
    <col min="7174" max="7174" width="9.42578125" style="77" customWidth="1"/>
    <col min="7175" max="7175" width="9.140625" style="77"/>
    <col min="7176" max="7176" width="8.5703125" style="77" customWidth="1"/>
    <col min="7177" max="7177" width="10.7109375" style="77" customWidth="1"/>
    <col min="7178" max="7200" width="0" style="77" hidden="1" customWidth="1"/>
    <col min="7201" max="7202" width="9.140625" style="77" customWidth="1"/>
    <col min="7203" max="7203" width="12.85546875" style="77" customWidth="1"/>
    <col min="7204" max="7205" width="10.140625" style="77" customWidth="1"/>
    <col min="7206" max="7208" width="9.140625" style="77" customWidth="1"/>
    <col min="7209" max="7213" width="18.7109375" style="77" customWidth="1"/>
    <col min="7214" max="7216" width="5.7109375" style="77" customWidth="1"/>
    <col min="7217" max="7371" width="9.140625" style="77" customWidth="1"/>
    <col min="7372" max="7424" width="9.140625" style="77"/>
    <col min="7425" max="7425" width="13.140625" style="77" customWidth="1"/>
    <col min="7426" max="7426" width="9.85546875" style="77" customWidth="1"/>
    <col min="7427" max="7427" width="12.28515625" style="77" customWidth="1"/>
    <col min="7428" max="7428" width="10.5703125" style="77" customWidth="1"/>
    <col min="7429" max="7429" width="9.7109375" style="77" customWidth="1"/>
    <col min="7430" max="7430" width="9.42578125" style="77" customWidth="1"/>
    <col min="7431" max="7431" width="9.140625" style="77"/>
    <col min="7432" max="7432" width="8.5703125" style="77" customWidth="1"/>
    <col min="7433" max="7433" width="10.7109375" style="77" customWidth="1"/>
    <col min="7434" max="7456" width="0" style="77" hidden="1" customWidth="1"/>
    <col min="7457" max="7458" width="9.140625" style="77" customWidth="1"/>
    <col min="7459" max="7459" width="12.85546875" style="77" customWidth="1"/>
    <col min="7460" max="7461" width="10.140625" style="77" customWidth="1"/>
    <col min="7462" max="7464" width="9.140625" style="77" customWidth="1"/>
    <col min="7465" max="7469" width="18.7109375" style="77" customWidth="1"/>
    <col min="7470" max="7472" width="5.7109375" style="77" customWidth="1"/>
    <col min="7473" max="7627" width="9.140625" style="77" customWidth="1"/>
    <col min="7628" max="7680" width="9.140625" style="77"/>
    <col min="7681" max="7681" width="13.140625" style="77" customWidth="1"/>
    <col min="7682" max="7682" width="9.85546875" style="77" customWidth="1"/>
    <col min="7683" max="7683" width="12.28515625" style="77" customWidth="1"/>
    <col min="7684" max="7684" width="10.5703125" style="77" customWidth="1"/>
    <col min="7685" max="7685" width="9.7109375" style="77" customWidth="1"/>
    <col min="7686" max="7686" width="9.42578125" style="77" customWidth="1"/>
    <col min="7687" max="7687" width="9.140625" style="77"/>
    <col min="7688" max="7688" width="8.5703125" style="77" customWidth="1"/>
    <col min="7689" max="7689" width="10.7109375" style="77" customWidth="1"/>
    <col min="7690" max="7712" width="0" style="77" hidden="1" customWidth="1"/>
    <col min="7713" max="7714" width="9.140625" style="77" customWidth="1"/>
    <col min="7715" max="7715" width="12.85546875" style="77" customWidth="1"/>
    <col min="7716" max="7717" width="10.140625" style="77" customWidth="1"/>
    <col min="7718" max="7720" width="9.140625" style="77" customWidth="1"/>
    <col min="7721" max="7725" width="18.7109375" style="77" customWidth="1"/>
    <col min="7726" max="7728" width="5.7109375" style="77" customWidth="1"/>
    <col min="7729" max="7883" width="9.140625" style="77" customWidth="1"/>
    <col min="7884" max="7936" width="9.140625" style="77"/>
    <col min="7937" max="7937" width="13.140625" style="77" customWidth="1"/>
    <col min="7938" max="7938" width="9.85546875" style="77" customWidth="1"/>
    <col min="7939" max="7939" width="12.28515625" style="77" customWidth="1"/>
    <col min="7940" max="7940" width="10.5703125" style="77" customWidth="1"/>
    <col min="7941" max="7941" width="9.7109375" style="77" customWidth="1"/>
    <col min="7942" max="7942" width="9.42578125" style="77" customWidth="1"/>
    <col min="7943" max="7943" width="9.140625" style="77"/>
    <col min="7944" max="7944" width="8.5703125" style="77" customWidth="1"/>
    <col min="7945" max="7945" width="10.7109375" style="77" customWidth="1"/>
    <col min="7946" max="7968" width="0" style="77" hidden="1" customWidth="1"/>
    <col min="7969" max="7970" width="9.140625" style="77" customWidth="1"/>
    <col min="7971" max="7971" width="12.85546875" style="77" customWidth="1"/>
    <col min="7972" max="7973" width="10.140625" style="77" customWidth="1"/>
    <col min="7974" max="7976" width="9.140625" style="77" customWidth="1"/>
    <col min="7977" max="7981" width="18.7109375" style="77" customWidth="1"/>
    <col min="7982" max="7984" width="5.7109375" style="77" customWidth="1"/>
    <col min="7985" max="8139" width="9.140625" style="77" customWidth="1"/>
    <col min="8140" max="8192" width="9.140625" style="77"/>
    <col min="8193" max="8193" width="13.140625" style="77" customWidth="1"/>
    <col min="8194" max="8194" width="9.85546875" style="77" customWidth="1"/>
    <col min="8195" max="8195" width="12.28515625" style="77" customWidth="1"/>
    <col min="8196" max="8196" width="10.5703125" style="77" customWidth="1"/>
    <col min="8197" max="8197" width="9.7109375" style="77" customWidth="1"/>
    <col min="8198" max="8198" width="9.42578125" style="77" customWidth="1"/>
    <col min="8199" max="8199" width="9.140625" style="77"/>
    <col min="8200" max="8200" width="8.5703125" style="77" customWidth="1"/>
    <col min="8201" max="8201" width="10.7109375" style="77" customWidth="1"/>
    <col min="8202" max="8224" width="0" style="77" hidden="1" customWidth="1"/>
    <col min="8225" max="8226" width="9.140625" style="77" customWidth="1"/>
    <col min="8227" max="8227" width="12.85546875" style="77" customWidth="1"/>
    <col min="8228" max="8229" width="10.140625" style="77" customWidth="1"/>
    <col min="8230" max="8232" width="9.140625" style="77" customWidth="1"/>
    <col min="8233" max="8237" width="18.7109375" style="77" customWidth="1"/>
    <col min="8238" max="8240" width="5.7109375" style="77" customWidth="1"/>
    <col min="8241" max="8395" width="9.140625" style="77" customWidth="1"/>
    <col min="8396" max="8448" width="9.140625" style="77"/>
    <col min="8449" max="8449" width="13.140625" style="77" customWidth="1"/>
    <col min="8450" max="8450" width="9.85546875" style="77" customWidth="1"/>
    <col min="8451" max="8451" width="12.28515625" style="77" customWidth="1"/>
    <col min="8452" max="8452" width="10.5703125" style="77" customWidth="1"/>
    <col min="8453" max="8453" width="9.7109375" style="77" customWidth="1"/>
    <col min="8454" max="8454" width="9.42578125" style="77" customWidth="1"/>
    <col min="8455" max="8455" width="9.140625" style="77"/>
    <col min="8456" max="8456" width="8.5703125" style="77" customWidth="1"/>
    <col min="8457" max="8457" width="10.7109375" style="77" customWidth="1"/>
    <col min="8458" max="8480" width="0" style="77" hidden="1" customWidth="1"/>
    <col min="8481" max="8482" width="9.140625" style="77" customWidth="1"/>
    <col min="8483" max="8483" width="12.85546875" style="77" customWidth="1"/>
    <col min="8484" max="8485" width="10.140625" style="77" customWidth="1"/>
    <col min="8486" max="8488" width="9.140625" style="77" customWidth="1"/>
    <col min="8489" max="8493" width="18.7109375" style="77" customWidth="1"/>
    <col min="8494" max="8496" width="5.7109375" style="77" customWidth="1"/>
    <col min="8497" max="8651" width="9.140625" style="77" customWidth="1"/>
    <col min="8652" max="8704" width="9.140625" style="77"/>
    <col min="8705" max="8705" width="13.140625" style="77" customWidth="1"/>
    <col min="8706" max="8706" width="9.85546875" style="77" customWidth="1"/>
    <col min="8707" max="8707" width="12.28515625" style="77" customWidth="1"/>
    <col min="8708" max="8708" width="10.5703125" style="77" customWidth="1"/>
    <col min="8709" max="8709" width="9.7109375" style="77" customWidth="1"/>
    <col min="8710" max="8710" width="9.42578125" style="77" customWidth="1"/>
    <col min="8711" max="8711" width="9.140625" style="77"/>
    <col min="8712" max="8712" width="8.5703125" style="77" customWidth="1"/>
    <col min="8713" max="8713" width="10.7109375" style="77" customWidth="1"/>
    <col min="8714" max="8736" width="0" style="77" hidden="1" customWidth="1"/>
    <col min="8737" max="8738" width="9.140625" style="77" customWidth="1"/>
    <col min="8739" max="8739" width="12.85546875" style="77" customWidth="1"/>
    <col min="8740" max="8741" width="10.140625" style="77" customWidth="1"/>
    <col min="8742" max="8744" width="9.140625" style="77" customWidth="1"/>
    <col min="8745" max="8749" width="18.7109375" style="77" customWidth="1"/>
    <col min="8750" max="8752" width="5.7109375" style="77" customWidth="1"/>
    <col min="8753" max="8907" width="9.140625" style="77" customWidth="1"/>
    <col min="8908" max="8960" width="9.140625" style="77"/>
    <col min="8961" max="8961" width="13.140625" style="77" customWidth="1"/>
    <col min="8962" max="8962" width="9.85546875" style="77" customWidth="1"/>
    <col min="8963" max="8963" width="12.28515625" style="77" customWidth="1"/>
    <col min="8964" max="8964" width="10.5703125" style="77" customWidth="1"/>
    <col min="8965" max="8965" width="9.7109375" style="77" customWidth="1"/>
    <col min="8966" max="8966" width="9.42578125" style="77" customWidth="1"/>
    <col min="8967" max="8967" width="9.140625" style="77"/>
    <col min="8968" max="8968" width="8.5703125" style="77" customWidth="1"/>
    <col min="8969" max="8969" width="10.7109375" style="77" customWidth="1"/>
    <col min="8970" max="8992" width="0" style="77" hidden="1" customWidth="1"/>
    <col min="8993" max="8994" width="9.140625" style="77" customWidth="1"/>
    <col min="8995" max="8995" width="12.85546875" style="77" customWidth="1"/>
    <col min="8996" max="8997" width="10.140625" style="77" customWidth="1"/>
    <col min="8998" max="9000" width="9.140625" style="77" customWidth="1"/>
    <col min="9001" max="9005" width="18.7109375" style="77" customWidth="1"/>
    <col min="9006" max="9008" width="5.7109375" style="77" customWidth="1"/>
    <col min="9009" max="9163" width="9.140625" style="77" customWidth="1"/>
    <col min="9164" max="9216" width="9.140625" style="77"/>
    <col min="9217" max="9217" width="13.140625" style="77" customWidth="1"/>
    <col min="9218" max="9218" width="9.85546875" style="77" customWidth="1"/>
    <col min="9219" max="9219" width="12.28515625" style="77" customWidth="1"/>
    <col min="9220" max="9220" width="10.5703125" style="77" customWidth="1"/>
    <col min="9221" max="9221" width="9.7109375" style="77" customWidth="1"/>
    <col min="9222" max="9222" width="9.42578125" style="77" customWidth="1"/>
    <col min="9223" max="9223" width="9.140625" style="77"/>
    <col min="9224" max="9224" width="8.5703125" style="77" customWidth="1"/>
    <col min="9225" max="9225" width="10.7109375" style="77" customWidth="1"/>
    <col min="9226" max="9248" width="0" style="77" hidden="1" customWidth="1"/>
    <col min="9249" max="9250" width="9.140625" style="77" customWidth="1"/>
    <col min="9251" max="9251" width="12.85546875" style="77" customWidth="1"/>
    <col min="9252" max="9253" width="10.140625" style="77" customWidth="1"/>
    <col min="9254" max="9256" width="9.140625" style="77" customWidth="1"/>
    <col min="9257" max="9261" width="18.7109375" style="77" customWidth="1"/>
    <col min="9262" max="9264" width="5.7109375" style="77" customWidth="1"/>
    <col min="9265" max="9419" width="9.140625" style="77" customWidth="1"/>
    <col min="9420" max="9472" width="9.140625" style="77"/>
    <col min="9473" max="9473" width="13.140625" style="77" customWidth="1"/>
    <col min="9474" max="9474" width="9.85546875" style="77" customWidth="1"/>
    <col min="9475" max="9475" width="12.28515625" style="77" customWidth="1"/>
    <col min="9476" max="9476" width="10.5703125" style="77" customWidth="1"/>
    <col min="9477" max="9477" width="9.7109375" style="77" customWidth="1"/>
    <col min="9478" max="9478" width="9.42578125" style="77" customWidth="1"/>
    <col min="9479" max="9479" width="9.140625" style="77"/>
    <col min="9480" max="9480" width="8.5703125" style="77" customWidth="1"/>
    <col min="9481" max="9481" width="10.7109375" style="77" customWidth="1"/>
    <col min="9482" max="9504" width="0" style="77" hidden="1" customWidth="1"/>
    <col min="9505" max="9506" width="9.140625" style="77" customWidth="1"/>
    <col min="9507" max="9507" width="12.85546875" style="77" customWidth="1"/>
    <col min="9508" max="9509" width="10.140625" style="77" customWidth="1"/>
    <col min="9510" max="9512" width="9.140625" style="77" customWidth="1"/>
    <col min="9513" max="9517" width="18.7109375" style="77" customWidth="1"/>
    <col min="9518" max="9520" width="5.7109375" style="77" customWidth="1"/>
    <col min="9521" max="9675" width="9.140625" style="77" customWidth="1"/>
    <col min="9676" max="9728" width="9.140625" style="77"/>
    <col min="9729" max="9729" width="13.140625" style="77" customWidth="1"/>
    <col min="9730" max="9730" width="9.85546875" style="77" customWidth="1"/>
    <col min="9731" max="9731" width="12.28515625" style="77" customWidth="1"/>
    <col min="9732" max="9732" width="10.5703125" style="77" customWidth="1"/>
    <col min="9733" max="9733" width="9.7109375" style="77" customWidth="1"/>
    <col min="9734" max="9734" width="9.42578125" style="77" customWidth="1"/>
    <col min="9735" max="9735" width="9.140625" style="77"/>
    <col min="9736" max="9736" width="8.5703125" style="77" customWidth="1"/>
    <col min="9737" max="9737" width="10.7109375" style="77" customWidth="1"/>
    <col min="9738" max="9760" width="0" style="77" hidden="1" customWidth="1"/>
    <col min="9761" max="9762" width="9.140625" style="77" customWidth="1"/>
    <col min="9763" max="9763" width="12.85546875" style="77" customWidth="1"/>
    <col min="9764" max="9765" width="10.140625" style="77" customWidth="1"/>
    <col min="9766" max="9768" width="9.140625" style="77" customWidth="1"/>
    <col min="9769" max="9773" width="18.7109375" style="77" customWidth="1"/>
    <col min="9774" max="9776" width="5.7109375" style="77" customWidth="1"/>
    <col min="9777" max="9931" width="9.140625" style="77" customWidth="1"/>
    <col min="9932" max="9984" width="9.140625" style="77"/>
    <col min="9985" max="9985" width="13.140625" style="77" customWidth="1"/>
    <col min="9986" max="9986" width="9.85546875" style="77" customWidth="1"/>
    <col min="9987" max="9987" width="12.28515625" style="77" customWidth="1"/>
    <col min="9988" max="9988" width="10.5703125" style="77" customWidth="1"/>
    <col min="9989" max="9989" width="9.7109375" style="77" customWidth="1"/>
    <col min="9990" max="9990" width="9.42578125" style="77" customWidth="1"/>
    <col min="9991" max="9991" width="9.140625" style="77"/>
    <col min="9992" max="9992" width="8.5703125" style="77" customWidth="1"/>
    <col min="9993" max="9993" width="10.7109375" style="77" customWidth="1"/>
    <col min="9994" max="10016" width="0" style="77" hidden="1" customWidth="1"/>
    <col min="10017" max="10018" width="9.140625" style="77" customWidth="1"/>
    <col min="10019" max="10019" width="12.85546875" style="77" customWidth="1"/>
    <col min="10020" max="10021" width="10.140625" style="77" customWidth="1"/>
    <col min="10022" max="10024" width="9.140625" style="77" customWidth="1"/>
    <col min="10025" max="10029" width="18.7109375" style="77" customWidth="1"/>
    <col min="10030" max="10032" width="5.7109375" style="77" customWidth="1"/>
    <col min="10033" max="10187" width="9.140625" style="77" customWidth="1"/>
    <col min="10188" max="10240" width="9.140625" style="77"/>
    <col min="10241" max="10241" width="13.140625" style="77" customWidth="1"/>
    <col min="10242" max="10242" width="9.85546875" style="77" customWidth="1"/>
    <col min="10243" max="10243" width="12.28515625" style="77" customWidth="1"/>
    <col min="10244" max="10244" width="10.5703125" style="77" customWidth="1"/>
    <col min="10245" max="10245" width="9.7109375" style="77" customWidth="1"/>
    <col min="10246" max="10246" width="9.42578125" style="77" customWidth="1"/>
    <col min="10247" max="10247" width="9.140625" style="77"/>
    <col min="10248" max="10248" width="8.5703125" style="77" customWidth="1"/>
    <col min="10249" max="10249" width="10.7109375" style="77" customWidth="1"/>
    <col min="10250" max="10272" width="0" style="77" hidden="1" customWidth="1"/>
    <col min="10273" max="10274" width="9.140625" style="77" customWidth="1"/>
    <col min="10275" max="10275" width="12.85546875" style="77" customWidth="1"/>
    <col min="10276" max="10277" width="10.140625" style="77" customWidth="1"/>
    <col min="10278" max="10280" width="9.140625" style="77" customWidth="1"/>
    <col min="10281" max="10285" width="18.7109375" style="77" customWidth="1"/>
    <col min="10286" max="10288" width="5.7109375" style="77" customWidth="1"/>
    <col min="10289" max="10443" width="9.140625" style="77" customWidth="1"/>
    <col min="10444" max="10496" width="9.140625" style="77"/>
    <col min="10497" max="10497" width="13.140625" style="77" customWidth="1"/>
    <col min="10498" max="10498" width="9.85546875" style="77" customWidth="1"/>
    <col min="10499" max="10499" width="12.28515625" style="77" customWidth="1"/>
    <col min="10500" max="10500" width="10.5703125" style="77" customWidth="1"/>
    <col min="10501" max="10501" width="9.7109375" style="77" customWidth="1"/>
    <col min="10502" max="10502" width="9.42578125" style="77" customWidth="1"/>
    <col min="10503" max="10503" width="9.140625" style="77"/>
    <col min="10504" max="10504" width="8.5703125" style="77" customWidth="1"/>
    <col min="10505" max="10505" width="10.7109375" style="77" customWidth="1"/>
    <col min="10506" max="10528" width="0" style="77" hidden="1" customWidth="1"/>
    <col min="10529" max="10530" width="9.140625" style="77" customWidth="1"/>
    <col min="10531" max="10531" width="12.85546875" style="77" customWidth="1"/>
    <col min="10532" max="10533" width="10.140625" style="77" customWidth="1"/>
    <col min="10534" max="10536" width="9.140625" style="77" customWidth="1"/>
    <col min="10537" max="10541" width="18.7109375" style="77" customWidth="1"/>
    <col min="10542" max="10544" width="5.7109375" style="77" customWidth="1"/>
    <col min="10545" max="10699" width="9.140625" style="77" customWidth="1"/>
    <col min="10700" max="10752" width="9.140625" style="77"/>
    <col min="10753" max="10753" width="13.140625" style="77" customWidth="1"/>
    <col min="10754" max="10754" width="9.85546875" style="77" customWidth="1"/>
    <col min="10755" max="10755" width="12.28515625" style="77" customWidth="1"/>
    <col min="10756" max="10756" width="10.5703125" style="77" customWidth="1"/>
    <col min="10757" max="10757" width="9.7109375" style="77" customWidth="1"/>
    <col min="10758" max="10758" width="9.42578125" style="77" customWidth="1"/>
    <col min="10759" max="10759" width="9.140625" style="77"/>
    <col min="10760" max="10760" width="8.5703125" style="77" customWidth="1"/>
    <col min="10761" max="10761" width="10.7109375" style="77" customWidth="1"/>
    <col min="10762" max="10784" width="0" style="77" hidden="1" customWidth="1"/>
    <col min="10785" max="10786" width="9.140625" style="77" customWidth="1"/>
    <col min="10787" max="10787" width="12.85546875" style="77" customWidth="1"/>
    <col min="10788" max="10789" width="10.140625" style="77" customWidth="1"/>
    <col min="10790" max="10792" width="9.140625" style="77" customWidth="1"/>
    <col min="10793" max="10797" width="18.7109375" style="77" customWidth="1"/>
    <col min="10798" max="10800" width="5.7109375" style="77" customWidth="1"/>
    <col min="10801" max="10955" width="9.140625" style="77" customWidth="1"/>
    <col min="10956" max="11008" width="9.140625" style="77"/>
    <col min="11009" max="11009" width="13.140625" style="77" customWidth="1"/>
    <col min="11010" max="11010" width="9.85546875" style="77" customWidth="1"/>
    <col min="11011" max="11011" width="12.28515625" style="77" customWidth="1"/>
    <col min="11012" max="11012" width="10.5703125" style="77" customWidth="1"/>
    <col min="11013" max="11013" width="9.7109375" style="77" customWidth="1"/>
    <col min="11014" max="11014" width="9.42578125" style="77" customWidth="1"/>
    <col min="11015" max="11015" width="9.140625" style="77"/>
    <col min="11016" max="11016" width="8.5703125" style="77" customWidth="1"/>
    <col min="11017" max="11017" width="10.7109375" style="77" customWidth="1"/>
    <col min="11018" max="11040" width="0" style="77" hidden="1" customWidth="1"/>
    <col min="11041" max="11042" width="9.140625" style="77" customWidth="1"/>
    <col min="11043" max="11043" width="12.85546875" style="77" customWidth="1"/>
    <col min="11044" max="11045" width="10.140625" style="77" customWidth="1"/>
    <col min="11046" max="11048" width="9.140625" style="77" customWidth="1"/>
    <col min="11049" max="11053" width="18.7109375" style="77" customWidth="1"/>
    <col min="11054" max="11056" width="5.7109375" style="77" customWidth="1"/>
    <col min="11057" max="11211" width="9.140625" style="77" customWidth="1"/>
    <col min="11212" max="11264" width="9.140625" style="77"/>
    <col min="11265" max="11265" width="13.140625" style="77" customWidth="1"/>
    <col min="11266" max="11266" width="9.85546875" style="77" customWidth="1"/>
    <col min="11267" max="11267" width="12.28515625" style="77" customWidth="1"/>
    <col min="11268" max="11268" width="10.5703125" style="77" customWidth="1"/>
    <col min="11269" max="11269" width="9.7109375" style="77" customWidth="1"/>
    <col min="11270" max="11270" width="9.42578125" style="77" customWidth="1"/>
    <col min="11271" max="11271" width="9.140625" style="77"/>
    <col min="11272" max="11272" width="8.5703125" style="77" customWidth="1"/>
    <col min="11273" max="11273" width="10.7109375" style="77" customWidth="1"/>
    <col min="11274" max="11296" width="0" style="77" hidden="1" customWidth="1"/>
    <col min="11297" max="11298" width="9.140625" style="77" customWidth="1"/>
    <col min="11299" max="11299" width="12.85546875" style="77" customWidth="1"/>
    <col min="11300" max="11301" width="10.140625" style="77" customWidth="1"/>
    <col min="11302" max="11304" width="9.140625" style="77" customWidth="1"/>
    <col min="11305" max="11309" width="18.7109375" style="77" customWidth="1"/>
    <col min="11310" max="11312" width="5.7109375" style="77" customWidth="1"/>
    <col min="11313" max="11467" width="9.140625" style="77" customWidth="1"/>
    <col min="11468" max="11520" width="9.140625" style="77"/>
    <col min="11521" max="11521" width="13.140625" style="77" customWidth="1"/>
    <col min="11522" max="11522" width="9.85546875" style="77" customWidth="1"/>
    <col min="11523" max="11523" width="12.28515625" style="77" customWidth="1"/>
    <col min="11524" max="11524" width="10.5703125" style="77" customWidth="1"/>
    <col min="11525" max="11525" width="9.7109375" style="77" customWidth="1"/>
    <col min="11526" max="11526" width="9.42578125" style="77" customWidth="1"/>
    <col min="11527" max="11527" width="9.140625" style="77"/>
    <col min="11528" max="11528" width="8.5703125" style="77" customWidth="1"/>
    <col min="11529" max="11529" width="10.7109375" style="77" customWidth="1"/>
    <col min="11530" max="11552" width="0" style="77" hidden="1" customWidth="1"/>
    <col min="11553" max="11554" width="9.140625" style="77" customWidth="1"/>
    <col min="11555" max="11555" width="12.85546875" style="77" customWidth="1"/>
    <col min="11556" max="11557" width="10.140625" style="77" customWidth="1"/>
    <col min="11558" max="11560" width="9.140625" style="77" customWidth="1"/>
    <col min="11561" max="11565" width="18.7109375" style="77" customWidth="1"/>
    <col min="11566" max="11568" width="5.7109375" style="77" customWidth="1"/>
    <col min="11569" max="11723" width="9.140625" style="77" customWidth="1"/>
    <col min="11724" max="11776" width="9.140625" style="77"/>
    <col min="11777" max="11777" width="13.140625" style="77" customWidth="1"/>
    <col min="11778" max="11778" width="9.85546875" style="77" customWidth="1"/>
    <col min="11779" max="11779" width="12.28515625" style="77" customWidth="1"/>
    <col min="11780" max="11780" width="10.5703125" style="77" customWidth="1"/>
    <col min="11781" max="11781" width="9.7109375" style="77" customWidth="1"/>
    <col min="11782" max="11782" width="9.42578125" style="77" customWidth="1"/>
    <col min="11783" max="11783" width="9.140625" style="77"/>
    <col min="11784" max="11784" width="8.5703125" style="77" customWidth="1"/>
    <col min="11785" max="11785" width="10.7109375" style="77" customWidth="1"/>
    <col min="11786" max="11808" width="0" style="77" hidden="1" customWidth="1"/>
    <col min="11809" max="11810" width="9.140625" style="77" customWidth="1"/>
    <col min="11811" max="11811" width="12.85546875" style="77" customWidth="1"/>
    <col min="11812" max="11813" width="10.140625" style="77" customWidth="1"/>
    <col min="11814" max="11816" width="9.140625" style="77" customWidth="1"/>
    <col min="11817" max="11821" width="18.7109375" style="77" customWidth="1"/>
    <col min="11822" max="11824" width="5.7109375" style="77" customWidth="1"/>
    <col min="11825" max="11979" width="9.140625" style="77" customWidth="1"/>
    <col min="11980" max="12032" width="9.140625" style="77"/>
    <col min="12033" max="12033" width="13.140625" style="77" customWidth="1"/>
    <col min="12034" max="12034" width="9.85546875" style="77" customWidth="1"/>
    <col min="12035" max="12035" width="12.28515625" style="77" customWidth="1"/>
    <col min="12036" max="12036" width="10.5703125" style="77" customWidth="1"/>
    <col min="12037" max="12037" width="9.7109375" style="77" customWidth="1"/>
    <col min="12038" max="12038" width="9.42578125" style="77" customWidth="1"/>
    <col min="12039" max="12039" width="9.140625" style="77"/>
    <col min="12040" max="12040" width="8.5703125" style="77" customWidth="1"/>
    <col min="12041" max="12041" width="10.7109375" style="77" customWidth="1"/>
    <col min="12042" max="12064" width="0" style="77" hidden="1" customWidth="1"/>
    <col min="12065" max="12066" width="9.140625" style="77" customWidth="1"/>
    <col min="12067" max="12067" width="12.85546875" style="77" customWidth="1"/>
    <col min="12068" max="12069" width="10.140625" style="77" customWidth="1"/>
    <col min="12070" max="12072" width="9.140625" style="77" customWidth="1"/>
    <col min="12073" max="12077" width="18.7109375" style="77" customWidth="1"/>
    <col min="12078" max="12080" width="5.7109375" style="77" customWidth="1"/>
    <col min="12081" max="12235" width="9.140625" style="77" customWidth="1"/>
    <col min="12236" max="12288" width="9.140625" style="77"/>
    <col min="12289" max="12289" width="13.140625" style="77" customWidth="1"/>
    <col min="12290" max="12290" width="9.85546875" style="77" customWidth="1"/>
    <col min="12291" max="12291" width="12.28515625" style="77" customWidth="1"/>
    <col min="12292" max="12292" width="10.5703125" style="77" customWidth="1"/>
    <col min="12293" max="12293" width="9.7109375" style="77" customWidth="1"/>
    <col min="12294" max="12294" width="9.42578125" style="77" customWidth="1"/>
    <col min="12295" max="12295" width="9.140625" style="77"/>
    <col min="12296" max="12296" width="8.5703125" style="77" customWidth="1"/>
    <col min="12297" max="12297" width="10.7109375" style="77" customWidth="1"/>
    <col min="12298" max="12320" width="0" style="77" hidden="1" customWidth="1"/>
    <col min="12321" max="12322" width="9.140625" style="77" customWidth="1"/>
    <col min="12323" max="12323" width="12.85546875" style="77" customWidth="1"/>
    <col min="12324" max="12325" width="10.140625" style="77" customWidth="1"/>
    <col min="12326" max="12328" width="9.140625" style="77" customWidth="1"/>
    <col min="12329" max="12333" width="18.7109375" style="77" customWidth="1"/>
    <col min="12334" max="12336" width="5.7109375" style="77" customWidth="1"/>
    <col min="12337" max="12491" width="9.140625" style="77" customWidth="1"/>
    <col min="12492" max="12544" width="9.140625" style="77"/>
    <col min="12545" max="12545" width="13.140625" style="77" customWidth="1"/>
    <col min="12546" max="12546" width="9.85546875" style="77" customWidth="1"/>
    <col min="12547" max="12547" width="12.28515625" style="77" customWidth="1"/>
    <col min="12548" max="12548" width="10.5703125" style="77" customWidth="1"/>
    <col min="12549" max="12549" width="9.7109375" style="77" customWidth="1"/>
    <col min="12550" max="12550" width="9.42578125" style="77" customWidth="1"/>
    <col min="12551" max="12551" width="9.140625" style="77"/>
    <col min="12552" max="12552" width="8.5703125" style="77" customWidth="1"/>
    <col min="12553" max="12553" width="10.7109375" style="77" customWidth="1"/>
    <col min="12554" max="12576" width="0" style="77" hidden="1" customWidth="1"/>
    <col min="12577" max="12578" width="9.140625" style="77" customWidth="1"/>
    <col min="12579" max="12579" width="12.85546875" style="77" customWidth="1"/>
    <col min="12580" max="12581" width="10.140625" style="77" customWidth="1"/>
    <col min="12582" max="12584" width="9.140625" style="77" customWidth="1"/>
    <col min="12585" max="12589" width="18.7109375" style="77" customWidth="1"/>
    <col min="12590" max="12592" width="5.7109375" style="77" customWidth="1"/>
    <col min="12593" max="12747" width="9.140625" style="77" customWidth="1"/>
    <col min="12748" max="12800" width="9.140625" style="77"/>
    <col min="12801" max="12801" width="13.140625" style="77" customWidth="1"/>
    <col min="12802" max="12802" width="9.85546875" style="77" customWidth="1"/>
    <col min="12803" max="12803" width="12.28515625" style="77" customWidth="1"/>
    <col min="12804" max="12804" width="10.5703125" style="77" customWidth="1"/>
    <col min="12805" max="12805" width="9.7109375" style="77" customWidth="1"/>
    <col min="12806" max="12806" width="9.42578125" style="77" customWidth="1"/>
    <col min="12807" max="12807" width="9.140625" style="77"/>
    <col min="12808" max="12808" width="8.5703125" style="77" customWidth="1"/>
    <col min="12809" max="12809" width="10.7109375" style="77" customWidth="1"/>
    <col min="12810" max="12832" width="0" style="77" hidden="1" customWidth="1"/>
    <col min="12833" max="12834" width="9.140625" style="77" customWidth="1"/>
    <col min="12835" max="12835" width="12.85546875" style="77" customWidth="1"/>
    <col min="12836" max="12837" width="10.140625" style="77" customWidth="1"/>
    <col min="12838" max="12840" width="9.140625" style="77" customWidth="1"/>
    <col min="12841" max="12845" width="18.7109375" style="77" customWidth="1"/>
    <col min="12846" max="12848" width="5.7109375" style="77" customWidth="1"/>
    <col min="12849" max="13003" width="9.140625" style="77" customWidth="1"/>
    <col min="13004" max="13056" width="9.140625" style="77"/>
    <col min="13057" max="13057" width="13.140625" style="77" customWidth="1"/>
    <col min="13058" max="13058" width="9.85546875" style="77" customWidth="1"/>
    <col min="13059" max="13059" width="12.28515625" style="77" customWidth="1"/>
    <col min="13060" max="13060" width="10.5703125" style="77" customWidth="1"/>
    <col min="13061" max="13061" width="9.7109375" style="77" customWidth="1"/>
    <col min="13062" max="13062" width="9.42578125" style="77" customWidth="1"/>
    <col min="13063" max="13063" width="9.140625" style="77"/>
    <col min="13064" max="13064" width="8.5703125" style="77" customWidth="1"/>
    <col min="13065" max="13065" width="10.7109375" style="77" customWidth="1"/>
    <col min="13066" max="13088" width="0" style="77" hidden="1" customWidth="1"/>
    <col min="13089" max="13090" width="9.140625" style="77" customWidth="1"/>
    <col min="13091" max="13091" width="12.85546875" style="77" customWidth="1"/>
    <col min="13092" max="13093" width="10.140625" style="77" customWidth="1"/>
    <col min="13094" max="13096" width="9.140625" style="77" customWidth="1"/>
    <col min="13097" max="13101" width="18.7109375" style="77" customWidth="1"/>
    <col min="13102" max="13104" width="5.7109375" style="77" customWidth="1"/>
    <col min="13105" max="13259" width="9.140625" style="77" customWidth="1"/>
    <col min="13260" max="13312" width="9.140625" style="77"/>
    <col min="13313" max="13313" width="13.140625" style="77" customWidth="1"/>
    <col min="13314" max="13314" width="9.85546875" style="77" customWidth="1"/>
    <col min="13315" max="13315" width="12.28515625" style="77" customWidth="1"/>
    <col min="13316" max="13316" width="10.5703125" style="77" customWidth="1"/>
    <col min="13317" max="13317" width="9.7109375" style="77" customWidth="1"/>
    <col min="13318" max="13318" width="9.42578125" style="77" customWidth="1"/>
    <col min="13319" max="13319" width="9.140625" style="77"/>
    <col min="13320" max="13320" width="8.5703125" style="77" customWidth="1"/>
    <col min="13321" max="13321" width="10.7109375" style="77" customWidth="1"/>
    <col min="13322" max="13344" width="0" style="77" hidden="1" customWidth="1"/>
    <col min="13345" max="13346" width="9.140625" style="77" customWidth="1"/>
    <col min="13347" max="13347" width="12.85546875" style="77" customWidth="1"/>
    <col min="13348" max="13349" width="10.140625" style="77" customWidth="1"/>
    <col min="13350" max="13352" width="9.140625" style="77" customWidth="1"/>
    <col min="13353" max="13357" width="18.7109375" style="77" customWidth="1"/>
    <col min="13358" max="13360" width="5.7109375" style="77" customWidth="1"/>
    <col min="13361" max="13515" width="9.140625" style="77" customWidth="1"/>
    <col min="13516" max="13568" width="9.140625" style="77"/>
    <col min="13569" max="13569" width="13.140625" style="77" customWidth="1"/>
    <col min="13570" max="13570" width="9.85546875" style="77" customWidth="1"/>
    <col min="13571" max="13571" width="12.28515625" style="77" customWidth="1"/>
    <col min="13572" max="13572" width="10.5703125" style="77" customWidth="1"/>
    <col min="13573" max="13573" width="9.7109375" style="77" customWidth="1"/>
    <col min="13574" max="13574" width="9.42578125" style="77" customWidth="1"/>
    <col min="13575" max="13575" width="9.140625" style="77"/>
    <col min="13576" max="13576" width="8.5703125" style="77" customWidth="1"/>
    <col min="13577" max="13577" width="10.7109375" style="77" customWidth="1"/>
    <col min="13578" max="13600" width="0" style="77" hidden="1" customWidth="1"/>
    <col min="13601" max="13602" width="9.140625" style="77" customWidth="1"/>
    <col min="13603" max="13603" width="12.85546875" style="77" customWidth="1"/>
    <col min="13604" max="13605" width="10.140625" style="77" customWidth="1"/>
    <col min="13606" max="13608" width="9.140625" style="77" customWidth="1"/>
    <col min="13609" max="13613" width="18.7109375" style="77" customWidth="1"/>
    <col min="13614" max="13616" width="5.7109375" style="77" customWidth="1"/>
    <col min="13617" max="13771" width="9.140625" style="77" customWidth="1"/>
    <col min="13772" max="13824" width="9.140625" style="77"/>
    <col min="13825" max="13825" width="13.140625" style="77" customWidth="1"/>
    <col min="13826" max="13826" width="9.85546875" style="77" customWidth="1"/>
    <col min="13827" max="13827" width="12.28515625" style="77" customWidth="1"/>
    <col min="13828" max="13828" width="10.5703125" style="77" customWidth="1"/>
    <col min="13829" max="13829" width="9.7109375" style="77" customWidth="1"/>
    <col min="13830" max="13830" width="9.42578125" style="77" customWidth="1"/>
    <col min="13831" max="13831" width="9.140625" style="77"/>
    <col min="13832" max="13832" width="8.5703125" style="77" customWidth="1"/>
    <col min="13833" max="13833" width="10.7109375" style="77" customWidth="1"/>
    <col min="13834" max="13856" width="0" style="77" hidden="1" customWidth="1"/>
    <col min="13857" max="13858" width="9.140625" style="77" customWidth="1"/>
    <col min="13859" max="13859" width="12.85546875" style="77" customWidth="1"/>
    <col min="13860" max="13861" width="10.140625" style="77" customWidth="1"/>
    <col min="13862" max="13864" width="9.140625" style="77" customWidth="1"/>
    <col min="13865" max="13869" width="18.7109375" style="77" customWidth="1"/>
    <col min="13870" max="13872" width="5.7109375" style="77" customWidth="1"/>
    <col min="13873" max="14027" width="9.140625" style="77" customWidth="1"/>
    <col min="14028" max="14080" width="9.140625" style="77"/>
    <col min="14081" max="14081" width="13.140625" style="77" customWidth="1"/>
    <col min="14082" max="14082" width="9.85546875" style="77" customWidth="1"/>
    <col min="14083" max="14083" width="12.28515625" style="77" customWidth="1"/>
    <col min="14084" max="14084" width="10.5703125" style="77" customWidth="1"/>
    <col min="14085" max="14085" width="9.7109375" style="77" customWidth="1"/>
    <col min="14086" max="14086" width="9.42578125" style="77" customWidth="1"/>
    <col min="14087" max="14087" width="9.140625" style="77"/>
    <col min="14088" max="14088" width="8.5703125" style="77" customWidth="1"/>
    <col min="14089" max="14089" width="10.7109375" style="77" customWidth="1"/>
    <col min="14090" max="14112" width="0" style="77" hidden="1" customWidth="1"/>
    <col min="14113" max="14114" width="9.140625" style="77" customWidth="1"/>
    <col min="14115" max="14115" width="12.85546875" style="77" customWidth="1"/>
    <col min="14116" max="14117" width="10.140625" style="77" customWidth="1"/>
    <col min="14118" max="14120" width="9.140625" style="77" customWidth="1"/>
    <col min="14121" max="14125" width="18.7109375" style="77" customWidth="1"/>
    <col min="14126" max="14128" width="5.7109375" style="77" customWidth="1"/>
    <col min="14129" max="14283" width="9.140625" style="77" customWidth="1"/>
    <col min="14284" max="14336" width="9.140625" style="77"/>
    <col min="14337" max="14337" width="13.140625" style="77" customWidth="1"/>
    <col min="14338" max="14338" width="9.85546875" style="77" customWidth="1"/>
    <col min="14339" max="14339" width="12.28515625" style="77" customWidth="1"/>
    <col min="14340" max="14340" width="10.5703125" style="77" customWidth="1"/>
    <col min="14341" max="14341" width="9.7109375" style="77" customWidth="1"/>
    <col min="14342" max="14342" width="9.42578125" style="77" customWidth="1"/>
    <col min="14343" max="14343" width="9.140625" style="77"/>
    <col min="14344" max="14344" width="8.5703125" style="77" customWidth="1"/>
    <col min="14345" max="14345" width="10.7109375" style="77" customWidth="1"/>
    <col min="14346" max="14368" width="0" style="77" hidden="1" customWidth="1"/>
    <col min="14369" max="14370" width="9.140625" style="77" customWidth="1"/>
    <col min="14371" max="14371" width="12.85546875" style="77" customWidth="1"/>
    <col min="14372" max="14373" width="10.140625" style="77" customWidth="1"/>
    <col min="14374" max="14376" width="9.140625" style="77" customWidth="1"/>
    <col min="14377" max="14381" width="18.7109375" style="77" customWidth="1"/>
    <col min="14382" max="14384" width="5.7109375" style="77" customWidth="1"/>
    <col min="14385" max="14539" width="9.140625" style="77" customWidth="1"/>
    <col min="14540" max="14592" width="9.140625" style="77"/>
    <col min="14593" max="14593" width="13.140625" style="77" customWidth="1"/>
    <col min="14594" max="14594" width="9.85546875" style="77" customWidth="1"/>
    <col min="14595" max="14595" width="12.28515625" style="77" customWidth="1"/>
    <col min="14596" max="14596" width="10.5703125" style="77" customWidth="1"/>
    <col min="14597" max="14597" width="9.7109375" style="77" customWidth="1"/>
    <col min="14598" max="14598" width="9.42578125" style="77" customWidth="1"/>
    <col min="14599" max="14599" width="9.140625" style="77"/>
    <col min="14600" max="14600" width="8.5703125" style="77" customWidth="1"/>
    <col min="14601" max="14601" width="10.7109375" style="77" customWidth="1"/>
    <col min="14602" max="14624" width="0" style="77" hidden="1" customWidth="1"/>
    <col min="14625" max="14626" width="9.140625" style="77" customWidth="1"/>
    <col min="14627" max="14627" width="12.85546875" style="77" customWidth="1"/>
    <col min="14628" max="14629" width="10.140625" style="77" customWidth="1"/>
    <col min="14630" max="14632" width="9.140625" style="77" customWidth="1"/>
    <col min="14633" max="14637" width="18.7109375" style="77" customWidth="1"/>
    <col min="14638" max="14640" width="5.7109375" style="77" customWidth="1"/>
    <col min="14641" max="14795" width="9.140625" style="77" customWidth="1"/>
    <col min="14796" max="14848" width="9.140625" style="77"/>
    <col min="14849" max="14849" width="13.140625" style="77" customWidth="1"/>
    <col min="14850" max="14850" width="9.85546875" style="77" customWidth="1"/>
    <col min="14851" max="14851" width="12.28515625" style="77" customWidth="1"/>
    <col min="14852" max="14852" width="10.5703125" style="77" customWidth="1"/>
    <col min="14853" max="14853" width="9.7109375" style="77" customWidth="1"/>
    <col min="14854" max="14854" width="9.42578125" style="77" customWidth="1"/>
    <col min="14855" max="14855" width="9.140625" style="77"/>
    <col min="14856" max="14856" width="8.5703125" style="77" customWidth="1"/>
    <col min="14857" max="14857" width="10.7109375" style="77" customWidth="1"/>
    <col min="14858" max="14880" width="0" style="77" hidden="1" customWidth="1"/>
    <col min="14881" max="14882" width="9.140625" style="77" customWidth="1"/>
    <col min="14883" max="14883" width="12.85546875" style="77" customWidth="1"/>
    <col min="14884" max="14885" width="10.140625" style="77" customWidth="1"/>
    <col min="14886" max="14888" width="9.140625" style="77" customWidth="1"/>
    <col min="14889" max="14893" width="18.7109375" style="77" customWidth="1"/>
    <col min="14894" max="14896" width="5.7109375" style="77" customWidth="1"/>
    <col min="14897" max="15051" width="9.140625" style="77" customWidth="1"/>
    <col min="15052" max="15104" width="9.140625" style="77"/>
    <col min="15105" max="15105" width="13.140625" style="77" customWidth="1"/>
    <col min="15106" max="15106" width="9.85546875" style="77" customWidth="1"/>
    <col min="15107" max="15107" width="12.28515625" style="77" customWidth="1"/>
    <col min="15108" max="15108" width="10.5703125" style="77" customWidth="1"/>
    <col min="15109" max="15109" width="9.7109375" style="77" customWidth="1"/>
    <col min="15110" max="15110" width="9.42578125" style="77" customWidth="1"/>
    <col min="15111" max="15111" width="9.140625" style="77"/>
    <col min="15112" max="15112" width="8.5703125" style="77" customWidth="1"/>
    <col min="15113" max="15113" width="10.7109375" style="77" customWidth="1"/>
    <col min="15114" max="15136" width="0" style="77" hidden="1" customWidth="1"/>
    <col min="15137" max="15138" width="9.140625" style="77" customWidth="1"/>
    <col min="15139" max="15139" width="12.85546875" style="77" customWidth="1"/>
    <col min="15140" max="15141" width="10.140625" style="77" customWidth="1"/>
    <col min="15142" max="15144" width="9.140625" style="77" customWidth="1"/>
    <col min="15145" max="15149" width="18.7109375" style="77" customWidth="1"/>
    <col min="15150" max="15152" width="5.7109375" style="77" customWidth="1"/>
    <col min="15153" max="15307" width="9.140625" style="77" customWidth="1"/>
    <col min="15308" max="15360" width="9.140625" style="77"/>
    <col min="15361" max="15361" width="13.140625" style="77" customWidth="1"/>
    <col min="15362" max="15362" width="9.85546875" style="77" customWidth="1"/>
    <col min="15363" max="15363" width="12.28515625" style="77" customWidth="1"/>
    <col min="15364" max="15364" width="10.5703125" style="77" customWidth="1"/>
    <col min="15365" max="15365" width="9.7109375" style="77" customWidth="1"/>
    <col min="15366" max="15366" width="9.42578125" style="77" customWidth="1"/>
    <col min="15367" max="15367" width="9.140625" style="77"/>
    <col min="15368" max="15368" width="8.5703125" style="77" customWidth="1"/>
    <col min="15369" max="15369" width="10.7109375" style="77" customWidth="1"/>
    <col min="15370" max="15392" width="0" style="77" hidden="1" customWidth="1"/>
    <col min="15393" max="15394" width="9.140625" style="77" customWidth="1"/>
    <col min="15395" max="15395" width="12.85546875" style="77" customWidth="1"/>
    <col min="15396" max="15397" width="10.140625" style="77" customWidth="1"/>
    <col min="15398" max="15400" width="9.140625" style="77" customWidth="1"/>
    <col min="15401" max="15405" width="18.7109375" style="77" customWidth="1"/>
    <col min="15406" max="15408" width="5.7109375" style="77" customWidth="1"/>
    <col min="15409" max="15563" width="9.140625" style="77" customWidth="1"/>
    <col min="15564" max="15616" width="9.140625" style="77"/>
    <col min="15617" max="15617" width="13.140625" style="77" customWidth="1"/>
    <col min="15618" max="15618" width="9.85546875" style="77" customWidth="1"/>
    <col min="15619" max="15619" width="12.28515625" style="77" customWidth="1"/>
    <col min="15620" max="15620" width="10.5703125" style="77" customWidth="1"/>
    <col min="15621" max="15621" width="9.7109375" style="77" customWidth="1"/>
    <col min="15622" max="15622" width="9.42578125" style="77" customWidth="1"/>
    <col min="15623" max="15623" width="9.140625" style="77"/>
    <col min="15624" max="15624" width="8.5703125" style="77" customWidth="1"/>
    <col min="15625" max="15625" width="10.7109375" style="77" customWidth="1"/>
    <col min="15626" max="15648" width="0" style="77" hidden="1" customWidth="1"/>
    <col min="15649" max="15650" width="9.140625" style="77" customWidth="1"/>
    <col min="15651" max="15651" width="12.85546875" style="77" customWidth="1"/>
    <col min="15652" max="15653" width="10.140625" style="77" customWidth="1"/>
    <col min="15654" max="15656" width="9.140625" style="77" customWidth="1"/>
    <col min="15657" max="15661" width="18.7109375" style="77" customWidth="1"/>
    <col min="15662" max="15664" width="5.7109375" style="77" customWidth="1"/>
    <col min="15665" max="15819" width="9.140625" style="77" customWidth="1"/>
    <col min="15820" max="15872" width="9.140625" style="77"/>
    <col min="15873" max="15873" width="13.140625" style="77" customWidth="1"/>
    <col min="15874" max="15874" width="9.85546875" style="77" customWidth="1"/>
    <col min="15875" max="15875" width="12.28515625" style="77" customWidth="1"/>
    <col min="15876" max="15876" width="10.5703125" style="77" customWidth="1"/>
    <col min="15877" max="15877" width="9.7109375" style="77" customWidth="1"/>
    <col min="15878" max="15878" width="9.42578125" style="77" customWidth="1"/>
    <col min="15879" max="15879" width="9.140625" style="77"/>
    <col min="15880" max="15880" width="8.5703125" style="77" customWidth="1"/>
    <col min="15881" max="15881" width="10.7109375" style="77" customWidth="1"/>
    <col min="15882" max="15904" width="0" style="77" hidden="1" customWidth="1"/>
    <col min="15905" max="15906" width="9.140625" style="77" customWidth="1"/>
    <col min="15907" max="15907" width="12.85546875" style="77" customWidth="1"/>
    <col min="15908" max="15909" width="10.140625" style="77" customWidth="1"/>
    <col min="15910" max="15912" width="9.140625" style="77" customWidth="1"/>
    <col min="15913" max="15917" width="18.7109375" style="77" customWidth="1"/>
    <col min="15918" max="15920" width="5.7109375" style="77" customWidth="1"/>
    <col min="15921" max="16075" width="9.140625" style="77" customWidth="1"/>
    <col min="16076" max="16128" width="9.140625" style="77"/>
    <col min="16129" max="16129" width="13.140625" style="77" customWidth="1"/>
    <col min="16130" max="16130" width="9.85546875" style="77" customWidth="1"/>
    <col min="16131" max="16131" width="12.28515625" style="77" customWidth="1"/>
    <col min="16132" max="16132" width="10.5703125" style="77" customWidth="1"/>
    <col min="16133" max="16133" width="9.7109375" style="77" customWidth="1"/>
    <col min="16134" max="16134" width="9.42578125" style="77" customWidth="1"/>
    <col min="16135" max="16135" width="9.140625" style="77"/>
    <col min="16136" max="16136" width="8.5703125" style="77" customWidth="1"/>
    <col min="16137" max="16137" width="10.7109375" style="77" customWidth="1"/>
    <col min="16138" max="16160" width="0" style="77" hidden="1" customWidth="1"/>
    <col min="16161" max="16162" width="9.140625" style="77" customWidth="1"/>
    <col min="16163" max="16163" width="12.85546875" style="77" customWidth="1"/>
    <col min="16164" max="16165" width="10.140625" style="77" customWidth="1"/>
    <col min="16166" max="16168" width="9.140625" style="77" customWidth="1"/>
    <col min="16169" max="16173" width="18.7109375" style="77" customWidth="1"/>
    <col min="16174" max="16176" width="5.7109375" style="77" customWidth="1"/>
    <col min="16177" max="16331" width="9.140625" style="77" customWidth="1"/>
    <col min="16332" max="16384" width="9.140625" style="77"/>
  </cols>
  <sheetData>
    <row r="1" spans="1:133" ht="15.75">
      <c r="A1" s="7" t="s">
        <v>823</v>
      </c>
      <c r="B1" s="8"/>
      <c r="C1" s="9"/>
      <c r="D1" s="9"/>
      <c r="E1" s="9"/>
      <c r="F1" s="9"/>
      <c r="G1" s="634"/>
      <c r="H1" s="634"/>
      <c r="I1" s="635"/>
      <c r="J1" s="1060"/>
      <c r="K1" s="1061" t="s">
        <v>25</v>
      </c>
      <c r="L1" s="1062" t="s">
        <v>55</v>
      </c>
      <c r="M1" s="1061"/>
      <c r="N1" s="1063"/>
      <c r="O1" s="1063"/>
      <c r="P1" s="1063"/>
      <c r="Q1" s="1063"/>
      <c r="R1" s="1063"/>
      <c r="S1" s="1063"/>
      <c r="U1" s="1063"/>
      <c r="V1" s="1063"/>
      <c r="W1" s="1063"/>
      <c r="X1" s="1063"/>
      <c r="Y1" s="1063"/>
      <c r="Z1" s="1063"/>
      <c r="AA1" s="1063"/>
      <c r="AB1" s="1063"/>
      <c r="AC1" s="1063"/>
      <c r="AD1" s="1063"/>
      <c r="AE1" s="1063"/>
      <c r="AF1" s="1063"/>
      <c r="AG1" s="1405" t="str">
        <f>Doc!$K$1</f>
        <v>Version 2.3 Updated 8/1/16</v>
      </c>
      <c r="AH1" s="1406"/>
      <c r="AI1" s="753"/>
      <c r="AJ1" s="753"/>
      <c r="AK1" s="753"/>
      <c r="AL1" s="753"/>
      <c r="AM1" s="753"/>
      <c r="AN1" s="753"/>
      <c r="AO1" s="565" t="s">
        <v>1214</v>
      </c>
      <c r="AP1" s="566"/>
      <c r="AQ1" s="566"/>
      <c r="AR1" s="566"/>
      <c r="AS1" s="566"/>
      <c r="AT1" s="566"/>
      <c r="AU1" s="566"/>
      <c r="AV1" s="566"/>
      <c r="AW1" s="566"/>
      <c r="AX1" s="566"/>
      <c r="AY1" s="566"/>
      <c r="AZ1" s="566"/>
      <c r="BA1" s="636"/>
      <c r="BB1" s="753"/>
      <c r="BC1" s="753"/>
      <c r="BD1" s="753"/>
      <c r="BE1" s="753"/>
      <c r="BF1" s="753"/>
      <c r="BG1" s="753"/>
      <c r="BH1" s="753"/>
      <c r="BI1" s="753"/>
      <c r="BJ1" s="753"/>
      <c r="BK1" s="753"/>
      <c r="BL1" s="753"/>
      <c r="BM1" s="753"/>
      <c r="BN1" s="753"/>
      <c r="BO1" s="753"/>
      <c r="BP1" s="753"/>
      <c r="BQ1" s="753"/>
      <c r="BR1" s="753"/>
      <c r="BS1" s="753"/>
      <c r="BT1" s="753"/>
      <c r="BU1" s="753"/>
      <c r="BV1" s="753"/>
      <c r="BW1" s="753"/>
      <c r="BX1" s="753"/>
      <c r="BY1" s="753"/>
      <c r="BZ1" s="753"/>
      <c r="CA1" s="753"/>
      <c r="CB1" s="753"/>
      <c r="CC1" s="753"/>
      <c r="CD1" s="753"/>
      <c r="CE1" s="753"/>
      <c r="CF1" s="753"/>
      <c r="CG1" s="753"/>
      <c r="CH1" s="753"/>
      <c r="CI1" s="753"/>
      <c r="CJ1" s="753"/>
      <c r="CK1" s="753"/>
      <c r="CL1" s="753"/>
      <c r="CM1" s="753"/>
      <c r="CN1" s="753"/>
      <c r="CO1" s="753"/>
      <c r="CP1" s="753"/>
      <c r="CQ1" s="753"/>
      <c r="CR1" s="753"/>
      <c r="CS1" s="753"/>
      <c r="CT1" s="753"/>
      <c r="CU1" s="753"/>
      <c r="CV1" s="753"/>
      <c r="CW1" s="753"/>
      <c r="CX1" s="753"/>
      <c r="CY1" s="753"/>
      <c r="CZ1" s="753"/>
      <c r="DA1" s="753"/>
      <c r="DB1" s="753"/>
      <c r="DC1" s="753"/>
      <c r="DD1" s="753"/>
      <c r="DE1" s="753"/>
      <c r="DF1" s="753"/>
      <c r="DG1" s="753"/>
      <c r="DH1" s="753"/>
      <c r="DI1" s="753"/>
      <c r="DJ1" s="753"/>
      <c r="DK1" s="753"/>
      <c r="DL1" s="753"/>
      <c r="DM1" s="753"/>
      <c r="DN1" s="753"/>
      <c r="DO1" s="753"/>
      <c r="DP1" s="753"/>
      <c r="DQ1" s="753"/>
      <c r="DR1" s="753"/>
      <c r="DS1" s="767"/>
      <c r="DT1" s="776"/>
      <c r="DX1" s="753"/>
      <c r="DY1" s="916"/>
    </row>
    <row r="2" spans="1:133" ht="12.75" customHeight="1">
      <c r="A2" s="22" t="s">
        <v>452</v>
      </c>
      <c r="B2" s="23"/>
      <c r="C2" s="23"/>
      <c r="D2" s="23"/>
      <c r="E2" s="23"/>
      <c r="F2" s="23"/>
      <c r="G2" s="23"/>
      <c r="H2" s="23"/>
      <c r="I2" s="24"/>
      <c r="J2" s="1061"/>
      <c r="K2" s="1061" t="s">
        <v>25</v>
      </c>
      <c r="L2" s="1061" t="s">
        <v>25</v>
      </c>
      <c r="M2" s="1061" t="s">
        <v>25</v>
      </c>
      <c r="N2" s="1063"/>
      <c r="O2" s="1064"/>
      <c r="P2" s="1063"/>
      <c r="Q2" s="1063"/>
      <c r="R2" s="1063"/>
      <c r="S2" s="1063"/>
      <c r="U2" s="1063"/>
      <c r="V2" s="1063"/>
      <c r="W2" s="1063"/>
      <c r="X2" s="1063"/>
      <c r="Y2" s="1063"/>
      <c r="Z2" s="1063"/>
      <c r="AA2" s="1063"/>
      <c r="AB2" s="1063"/>
      <c r="AC2" s="1063"/>
      <c r="AD2" s="1063"/>
      <c r="AE2" s="1063"/>
      <c r="AF2" s="1063"/>
      <c r="AG2" s="753"/>
      <c r="AH2" s="753"/>
      <c r="AI2" s="753"/>
      <c r="AJ2" s="753"/>
      <c r="AK2" s="753"/>
      <c r="AL2" s="753"/>
      <c r="AM2" s="753"/>
      <c r="AN2" s="753"/>
      <c r="AO2" s="568" t="s">
        <v>824</v>
      </c>
      <c r="AP2" s="637"/>
      <c r="AQ2" s="637"/>
      <c r="AR2" s="637"/>
      <c r="AS2" s="637"/>
      <c r="AT2" s="637"/>
      <c r="AU2" s="637"/>
      <c r="AV2" s="637"/>
      <c r="AW2" s="637"/>
      <c r="AX2" s="637"/>
      <c r="AY2" s="637"/>
      <c r="AZ2" s="637"/>
      <c r="BA2" s="638"/>
      <c r="BB2" s="753"/>
      <c r="BC2" s="753"/>
      <c r="BD2" s="753"/>
      <c r="BE2" s="753"/>
      <c r="BF2" s="753"/>
      <c r="BG2" s="753"/>
      <c r="BH2" s="753"/>
      <c r="BI2" s="753"/>
      <c r="BJ2" s="753"/>
      <c r="BK2" s="753"/>
      <c r="BL2" s="753"/>
      <c r="BM2" s="753"/>
      <c r="BN2" s="753"/>
      <c r="BO2" s="753"/>
      <c r="BP2" s="753"/>
      <c r="BQ2" s="753"/>
      <c r="BR2" s="753"/>
      <c r="BS2" s="753"/>
      <c r="BT2" s="753"/>
      <c r="BU2" s="753"/>
      <c r="BV2" s="753"/>
      <c r="BW2" s="753"/>
      <c r="BX2" s="753"/>
      <c r="BY2" s="753"/>
      <c r="BZ2" s="753"/>
      <c r="CA2" s="753"/>
      <c r="CB2" s="753"/>
      <c r="CC2" s="753"/>
      <c r="CD2" s="753"/>
      <c r="CE2" s="753"/>
      <c r="CF2" s="753"/>
      <c r="CG2" s="753"/>
      <c r="CH2" s="753"/>
      <c r="CI2" s="753"/>
      <c r="CJ2" s="753"/>
      <c r="CK2" s="753"/>
      <c r="CL2" s="753"/>
      <c r="CM2" s="753"/>
      <c r="CN2" s="753"/>
      <c r="CO2" s="753"/>
      <c r="CP2" s="753"/>
      <c r="CQ2" s="753"/>
      <c r="CR2" s="753"/>
      <c r="CS2" s="753"/>
      <c r="CT2" s="753"/>
      <c r="CU2" s="753"/>
      <c r="CV2" s="753"/>
      <c r="CW2" s="753"/>
      <c r="CX2" s="753"/>
      <c r="CY2" s="753"/>
      <c r="CZ2" s="753"/>
      <c r="DA2" s="753"/>
      <c r="DB2" s="753"/>
      <c r="DC2" s="753"/>
      <c r="DD2" s="753"/>
      <c r="DE2" s="753"/>
      <c r="DF2" s="753"/>
      <c r="DG2" s="753"/>
      <c r="DH2" s="753"/>
      <c r="DI2" s="753"/>
      <c r="DJ2" s="753"/>
      <c r="DK2" s="753"/>
      <c r="DL2" s="753"/>
      <c r="DM2" s="753"/>
      <c r="DN2" s="753"/>
      <c r="DO2" s="753"/>
      <c r="DP2" s="753"/>
      <c r="DQ2" s="753"/>
      <c r="DR2" s="753"/>
      <c r="DS2" s="753"/>
      <c r="DT2" s="776"/>
      <c r="DX2" s="753"/>
      <c r="DY2" s="769"/>
      <c r="DZ2" s="778"/>
      <c r="EC2" s="917"/>
    </row>
    <row r="3" spans="1:133" ht="12.75" customHeight="1">
      <c r="A3" s="29" t="s">
        <v>825</v>
      </c>
      <c r="B3" s="30"/>
      <c r="C3" s="31"/>
      <c r="D3" s="31"/>
      <c r="E3" s="31"/>
      <c r="F3" s="31"/>
      <c r="G3" s="31"/>
      <c r="H3" s="31"/>
      <c r="I3" s="32"/>
      <c r="J3" s="1063"/>
      <c r="K3" s="1065" t="s">
        <v>28</v>
      </c>
      <c r="L3" s="35" t="s">
        <v>456</v>
      </c>
      <c r="M3" s="1067"/>
      <c r="N3" s="1067"/>
      <c r="O3" s="1067"/>
      <c r="P3" s="1067"/>
      <c r="Q3" s="1068"/>
      <c r="R3" s="773"/>
      <c r="S3" s="773"/>
      <c r="T3" s="1066" t="s">
        <v>1214</v>
      </c>
      <c r="U3" s="1185"/>
      <c r="V3" s="1185"/>
      <c r="W3" s="1185"/>
      <c r="X3" s="1185"/>
      <c r="Y3" s="1185"/>
      <c r="Z3" s="1185"/>
      <c r="AA3" s="1185"/>
      <c r="AB3" s="1185"/>
      <c r="AC3" s="1068"/>
      <c r="AD3" s="1063"/>
      <c r="AE3" s="1063"/>
      <c r="AF3" s="1063"/>
      <c r="AG3" s="753"/>
      <c r="AH3" s="753"/>
      <c r="AI3" s="753"/>
      <c r="AJ3" s="753"/>
      <c r="AK3" s="753"/>
      <c r="AL3" s="753"/>
      <c r="AM3" s="753"/>
      <c r="AN3" s="753"/>
      <c r="AO3" s="574"/>
      <c r="AP3" s="578"/>
      <c r="AQ3" s="578"/>
      <c r="AR3" s="578"/>
      <c r="AS3" s="575"/>
      <c r="AT3" s="639"/>
      <c r="AU3" s="639"/>
      <c r="AV3" s="640"/>
      <c r="AW3" s="641" t="s">
        <v>826</v>
      </c>
      <c r="AX3" s="642"/>
      <c r="AY3" s="642"/>
      <c r="AZ3" s="642"/>
      <c r="BA3" s="643"/>
      <c r="BB3" s="753"/>
      <c r="BC3" s="753"/>
      <c r="BD3" s="753"/>
      <c r="BE3" s="753"/>
      <c r="BF3" s="753"/>
      <c r="BG3" s="753"/>
      <c r="BH3" s="753"/>
      <c r="BI3" s="753"/>
      <c r="BJ3" s="753"/>
      <c r="BK3" s="753"/>
      <c r="BL3" s="753"/>
      <c r="BM3" s="753"/>
      <c r="BN3" s="753"/>
      <c r="BO3" s="753"/>
      <c r="BP3" s="753"/>
      <c r="BQ3" s="753"/>
      <c r="BR3" s="753"/>
      <c r="BS3" s="753"/>
      <c r="BT3" s="753"/>
      <c r="BU3" s="753"/>
      <c r="BV3" s="753"/>
      <c r="BW3" s="753"/>
      <c r="BX3" s="753"/>
      <c r="BY3" s="753"/>
      <c r="BZ3" s="753"/>
      <c r="CA3" s="753"/>
      <c r="CB3" s="753"/>
      <c r="CC3" s="753"/>
      <c r="CD3" s="753"/>
      <c r="CE3" s="753"/>
      <c r="CF3" s="753"/>
      <c r="CG3" s="753"/>
      <c r="CH3" s="753"/>
      <c r="CI3" s="753"/>
      <c r="CJ3" s="753"/>
      <c r="CK3" s="753"/>
      <c r="CL3" s="753"/>
      <c r="CM3" s="753"/>
      <c r="CN3" s="753"/>
      <c r="CO3" s="753"/>
      <c r="CP3" s="753"/>
      <c r="CQ3" s="753"/>
      <c r="CR3" s="753"/>
      <c r="CS3" s="753"/>
      <c r="CT3" s="753"/>
      <c r="CU3" s="753"/>
      <c r="CV3" s="753"/>
      <c r="CW3" s="753"/>
      <c r="CX3" s="753"/>
      <c r="CY3" s="753"/>
      <c r="CZ3" s="753"/>
      <c r="DA3" s="753"/>
      <c r="DB3" s="753"/>
      <c r="DC3" s="753"/>
      <c r="DD3" s="753"/>
      <c r="DE3" s="753"/>
      <c r="DF3" s="753"/>
      <c r="DG3" s="753"/>
      <c r="DH3" s="753"/>
      <c r="DI3" s="753"/>
      <c r="DJ3" s="753"/>
      <c r="DK3" s="753"/>
      <c r="DL3" s="753"/>
      <c r="DM3" s="753"/>
      <c r="DN3" s="753"/>
      <c r="DO3" s="753"/>
      <c r="DP3" s="753"/>
      <c r="DQ3" s="753"/>
      <c r="DR3" s="753"/>
      <c r="DS3" s="753"/>
      <c r="DT3" s="776"/>
      <c r="DX3" s="753"/>
      <c r="DY3" s="811"/>
      <c r="EC3" s="778"/>
    </row>
    <row r="4" spans="1:133" ht="12.75" customHeight="1">
      <c r="A4" s="644" t="s">
        <v>24</v>
      </c>
      <c r="B4" s="1346"/>
      <c r="C4" s="248"/>
      <c r="D4" s="248"/>
      <c r="E4" s="248"/>
      <c r="F4" s="40" t="s">
        <v>40</v>
      </c>
      <c r="G4" s="1059"/>
      <c r="H4" s="373"/>
      <c r="I4" s="374"/>
      <c r="J4" s="1063"/>
      <c r="K4" s="1065" t="s">
        <v>30</v>
      </c>
      <c r="L4" s="1069" t="s">
        <v>145</v>
      </c>
      <c r="M4" s="1070"/>
      <c r="N4" s="1070"/>
      <c r="O4" s="1070"/>
      <c r="P4" s="1070"/>
      <c r="Q4" s="1071"/>
      <c r="R4" s="773"/>
      <c r="S4" s="773"/>
      <c r="T4" s="1069" t="s">
        <v>827</v>
      </c>
      <c r="U4" s="1186"/>
      <c r="V4" s="1186"/>
      <c r="W4" s="1186"/>
      <c r="X4" s="1186"/>
      <c r="Y4" s="1186"/>
      <c r="Z4" s="1186"/>
      <c r="AA4" s="1186"/>
      <c r="AB4" s="1186"/>
      <c r="AC4" s="1071"/>
      <c r="AD4" s="1063"/>
      <c r="AE4" s="1063"/>
      <c r="AF4" s="1063"/>
      <c r="AG4" s="753"/>
      <c r="AH4" s="1038"/>
      <c r="AI4" s="1037"/>
      <c r="AJ4" s="1038"/>
      <c r="AK4" s="1038"/>
      <c r="AL4" s="774"/>
      <c r="AM4" s="753"/>
      <c r="AN4" s="753"/>
      <c r="AO4" s="582" t="s">
        <v>625</v>
      </c>
      <c r="AP4" s="584"/>
      <c r="AQ4" s="584"/>
      <c r="AR4" s="584"/>
      <c r="AS4" s="583"/>
      <c r="AT4" s="645" t="s">
        <v>109</v>
      </c>
      <c r="AU4" s="646" t="s">
        <v>626</v>
      </c>
      <c r="AV4" s="647" t="s">
        <v>627</v>
      </c>
      <c r="AW4" s="585" t="s">
        <v>628</v>
      </c>
      <c r="AX4" s="648"/>
      <c r="AY4" s="648"/>
      <c r="AZ4" s="648"/>
      <c r="BA4" s="638"/>
      <c r="BB4" s="753"/>
      <c r="BC4" s="753"/>
      <c r="BD4" s="753"/>
      <c r="BE4" s="753"/>
      <c r="BF4" s="753"/>
      <c r="BG4" s="753"/>
      <c r="BH4" s="753"/>
      <c r="BI4" s="753"/>
      <c r="BJ4" s="753"/>
      <c r="BK4" s="753"/>
      <c r="BL4" s="753"/>
      <c r="BM4" s="753"/>
      <c r="BN4" s="753"/>
      <c r="BO4" s="753"/>
      <c r="BP4" s="753"/>
      <c r="BQ4" s="753"/>
      <c r="BR4" s="753"/>
      <c r="BS4" s="753"/>
      <c r="BT4" s="753"/>
      <c r="BU4" s="753"/>
      <c r="BV4" s="753"/>
      <c r="BW4" s="753"/>
      <c r="BX4" s="753"/>
      <c r="BY4" s="753"/>
      <c r="BZ4" s="753"/>
      <c r="CA4" s="753"/>
      <c r="CB4" s="753"/>
      <c r="CC4" s="753"/>
      <c r="CD4" s="753"/>
      <c r="CE4" s="753"/>
      <c r="CF4" s="753"/>
      <c r="CG4" s="753"/>
      <c r="CH4" s="753"/>
      <c r="CI4" s="753"/>
      <c r="CJ4" s="753"/>
      <c r="CK4" s="753"/>
      <c r="CL4" s="753"/>
      <c r="CM4" s="753"/>
      <c r="CN4" s="753"/>
      <c r="CO4" s="753"/>
      <c r="CP4" s="753"/>
      <c r="CQ4" s="753"/>
      <c r="CR4" s="753"/>
      <c r="CS4" s="753"/>
      <c r="CT4" s="753"/>
      <c r="CU4" s="753"/>
      <c r="CV4" s="753"/>
      <c r="CW4" s="753"/>
      <c r="CX4" s="753"/>
      <c r="CY4" s="753"/>
      <c r="CZ4" s="753"/>
      <c r="DA4" s="753"/>
      <c r="DB4" s="753"/>
      <c r="DC4" s="753"/>
      <c r="DD4" s="753"/>
      <c r="DE4" s="753"/>
      <c r="DF4" s="753"/>
      <c r="DG4" s="753"/>
      <c r="DH4" s="753"/>
      <c r="DI4" s="753"/>
      <c r="DJ4" s="753"/>
      <c r="DK4" s="753"/>
      <c r="DL4" s="753"/>
      <c r="DM4" s="753"/>
      <c r="DN4" s="753"/>
      <c r="DO4" s="753"/>
      <c r="DP4" s="753"/>
      <c r="DQ4" s="753"/>
      <c r="DR4" s="753"/>
      <c r="DS4" s="753"/>
      <c r="DT4" s="776"/>
      <c r="DX4" s="753"/>
      <c r="DY4" s="778"/>
      <c r="DZ4" s="753"/>
      <c r="EC4" s="819"/>
    </row>
    <row r="5" spans="1:133" ht="12.75" customHeight="1">
      <c r="A5" s="644" t="s">
        <v>26</v>
      </c>
      <c r="B5" s="1350"/>
      <c r="C5" s="250"/>
      <c r="D5" s="250"/>
      <c r="E5" s="250"/>
      <c r="F5" s="6" t="s">
        <v>41</v>
      </c>
      <c r="G5" s="1348"/>
      <c r="H5" s="6" t="s">
        <v>39</v>
      </c>
      <c r="I5" s="251"/>
      <c r="J5" s="1063"/>
      <c r="K5" s="1065" t="s">
        <v>27</v>
      </c>
      <c r="L5" s="1072" t="s">
        <v>37</v>
      </c>
      <c r="M5" s="1073" t="s">
        <v>69</v>
      </c>
      <c r="N5" s="1073" t="s">
        <v>70</v>
      </c>
      <c r="O5" s="1073" t="s">
        <v>71</v>
      </c>
      <c r="P5" s="1073" t="s">
        <v>72</v>
      </c>
      <c r="Q5" s="1073" t="s">
        <v>73</v>
      </c>
      <c r="R5" s="1061" t="s">
        <v>56</v>
      </c>
      <c r="S5" s="1061"/>
      <c r="T5" s="1066"/>
      <c r="U5" s="1068"/>
      <c r="V5" s="1073"/>
      <c r="W5" s="1187"/>
      <c r="X5" s="1187"/>
      <c r="Y5" s="1188" t="s">
        <v>629</v>
      </c>
      <c r="Z5" s="1112"/>
      <c r="AA5" s="1112"/>
      <c r="AB5" s="1112"/>
      <c r="AC5" s="1114"/>
      <c r="AD5" s="1061"/>
      <c r="AE5" s="1061"/>
      <c r="AF5" s="1061"/>
      <c r="AG5" s="753"/>
      <c r="AH5" s="754" t="s">
        <v>491</v>
      </c>
      <c r="AI5" s="755"/>
      <c r="AJ5" s="755"/>
      <c r="AK5" s="756"/>
      <c r="AL5" s="753"/>
      <c r="AM5" s="753"/>
      <c r="AN5" s="753"/>
      <c r="AO5" s="585"/>
      <c r="AP5" s="586"/>
      <c r="AQ5" s="586"/>
      <c r="AR5" s="586"/>
      <c r="AS5" s="587"/>
      <c r="AT5" s="650"/>
      <c r="AU5" s="651"/>
      <c r="AV5" s="650"/>
      <c r="AW5" s="650" t="s">
        <v>630</v>
      </c>
      <c r="AX5" s="650" t="s">
        <v>33</v>
      </c>
      <c r="AY5" s="650" t="s">
        <v>32</v>
      </c>
      <c r="AZ5" s="650" t="s">
        <v>35</v>
      </c>
      <c r="BA5" s="650" t="s">
        <v>36</v>
      </c>
      <c r="BB5" s="753"/>
      <c r="BC5" s="753"/>
      <c r="BD5" s="753"/>
      <c r="BE5" s="753"/>
      <c r="BF5" s="753"/>
      <c r="BG5" s="753"/>
      <c r="BH5" s="753"/>
      <c r="BI5" s="753"/>
      <c r="BJ5" s="753"/>
      <c r="BK5" s="753"/>
      <c r="BL5" s="753"/>
      <c r="BM5" s="753"/>
      <c r="BN5" s="753"/>
      <c r="BO5" s="753"/>
      <c r="BP5" s="753"/>
      <c r="BQ5" s="753"/>
      <c r="BR5" s="753"/>
      <c r="BS5" s="753"/>
      <c r="BT5" s="753"/>
      <c r="BU5" s="753"/>
      <c r="BV5" s="753"/>
      <c r="BW5" s="753"/>
      <c r="BX5" s="753"/>
      <c r="BY5" s="753"/>
      <c r="BZ5" s="753"/>
      <c r="CA5" s="753"/>
      <c r="CB5" s="753"/>
      <c r="CC5" s="753"/>
      <c r="CD5" s="753"/>
      <c r="CE5" s="753"/>
      <c r="CF5" s="753"/>
      <c r="CG5" s="753"/>
      <c r="CH5" s="753"/>
      <c r="CI5" s="753"/>
      <c r="CJ5" s="753"/>
      <c r="CK5" s="753"/>
      <c r="CL5" s="753"/>
      <c r="CM5" s="753"/>
      <c r="CN5" s="753"/>
      <c r="CO5" s="753"/>
      <c r="CP5" s="753"/>
      <c r="CQ5" s="753"/>
      <c r="CR5" s="753"/>
      <c r="CS5" s="753"/>
      <c r="CT5" s="757"/>
      <c r="CU5" s="757"/>
      <c r="CV5" s="757"/>
      <c r="CW5" s="757"/>
      <c r="CX5" s="757"/>
      <c r="CY5" s="757"/>
      <c r="CZ5" s="757"/>
      <c r="DA5" s="757"/>
      <c r="DB5" s="757"/>
      <c r="DC5" s="757"/>
      <c r="DD5" s="757"/>
      <c r="DE5" s="757"/>
      <c r="DF5" s="757"/>
      <c r="DG5" s="757"/>
      <c r="DH5" s="757"/>
      <c r="DI5" s="757"/>
      <c r="DJ5" s="757"/>
      <c r="DK5" s="757"/>
      <c r="DL5" s="757"/>
      <c r="DM5" s="757"/>
      <c r="DN5" s="757"/>
      <c r="DO5" s="757"/>
      <c r="DP5" s="757"/>
      <c r="DQ5" s="757"/>
      <c r="DR5" s="757"/>
      <c r="DS5" s="753"/>
      <c r="DT5" s="776"/>
      <c r="DX5" s="753"/>
      <c r="DY5" s="778"/>
      <c r="DZ5" s="753"/>
      <c r="EC5" s="819"/>
    </row>
    <row r="6" spans="1:133" ht="12.75" customHeight="1">
      <c r="A6" s="853"/>
      <c r="B6" s="753"/>
      <c r="C6" s="33"/>
      <c r="D6" s="753"/>
      <c r="E6" s="753"/>
      <c r="F6" s="753"/>
      <c r="G6" s="1255"/>
      <c r="H6" s="769"/>
      <c r="I6" s="1256"/>
      <c r="J6" s="808"/>
      <c r="K6" s="1065" t="s">
        <v>34</v>
      </c>
      <c r="L6" s="1075" t="s">
        <v>29</v>
      </c>
      <c r="M6" s="1075">
        <v>0.8</v>
      </c>
      <c r="N6" s="1075">
        <v>0.8</v>
      </c>
      <c r="O6" s="1075">
        <v>0.8</v>
      </c>
      <c r="P6" s="1075">
        <v>0.8</v>
      </c>
      <c r="Q6" s="1075">
        <v>0.8</v>
      </c>
      <c r="R6" s="1076">
        <v>0.8</v>
      </c>
      <c r="S6" s="1076"/>
      <c r="T6" s="1069" t="s">
        <v>631</v>
      </c>
      <c r="U6" s="1071"/>
      <c r="V6" s="1074" t="s">
        <v>109</v>
      </c>
      <c r="W6" s="1119" t="s">
        <v>13</v>
      </c>
      <c r="X6" s="1074" t="s">
        <v>155</v>
      </c>
      <c r="Y6" s="1189" t="s">
        <v>630</v>
      </c>
      <c r="Z6" s="1074" t="s">
        <v>33</v>
      </c>
      <c r="AA6" s="1074" t="s">
        <v>32</v>
      </c>
      <c r="AB6" s="1074" t="s">
        <v>35</v>
      </c>
      <c r="AC6" s="1074" t="s">
        <v>36</v>
      </c>
      <c r="AD6" s="1076"/>
      <c r="AE6" s="1076"/>
      <c r="AF6" s="1076"/>
      <c r="AG6" s="757"/>
      <c r="AH6" s="1419" t="s">
        <v>575</v>
      </c>
      <c r="AI6" s="1419"/>
      <c r="AJ6" s="1419"/>
      <c r="AK6" s="1419"/>
      <c r="AL6" s="753"/>
      <c r="AM6" s="753"/>
      <c r="AN6" s="757"/>
      <c r="AO6" s="1416" t="s">
        <v>828</v>
      </c>
      <c r="AP6" s="1417"/>
      <c r="AQ6" s="1417"/>
      <c r="AR6" s="1417"/>
      <c r="AS6" s="1418"/>
      <c r="AT6" s="729">
        <v>4</v>
      </c>
      <c r="AU6" s="729">
        <v>2</v>
      </c>
      <c r="AV6" s="729">
        <v>3.5</v>
      </c>
      <c r="AW6" s="730" t="s">
        <v>110</v>
      </c>
      <c r="AX6" s="730" t="s">
        <v>110</v>
      </c>
      <c r="AY6" s="730" t="s">
        <v>110</v>
      </c>
      <c r="AZ6" s="730" t="s">
        <v>110</v>
      </c>
      <c r="BA6" s="730" t="s">
        <v>110</v>
      </c>
      <c r="BB6" s="757"/>
      <c r="BC6" s="757"/>
      <c r="BD6" s="757"/>
      <c r="BE6" s="757"/>
      <c r="BF6" s="757"/>
      <c r="BG6" s="757"/>
      <c r="BH6" s="757"/>
      <c r="BI6" s="757"/>
      <c r="BJ6" s="757"/>
      <c r="BK6" s="757"/>
      <c r="BL6" s="757"/>
      <c r="BM6" s="757"/>
      <c r="BN6" s="757"/>
      <c r="BO6" s="757"/>
      <c r="BP6" s="757"/>
      <c r="BQ6" s="757"/>
      <c r="BR6" s="757"/>
      <c r="BS6" s="757"/>
      <c r="BT6" s="757"/>
      <c r="BU6" s="757"/>
      <c r="BV6" s="757"/>
      <c r="BW6" s="757"/>
      <c r="BX6" s="757"/>
      <c r="BY6" s="757"/>
      <c r="BZ6" s="757"/>
      <c r="CA6" s="757"/>
      <c r="CB6" s="757"/>
      <c r="CC6" s="757"/>
      <c r="CD6" s="757"/>
      <c r="CE6" s="757"/>
      <c r="CF6" s="757"/>
      <c r="CG6" s="757"/>
      <c r="CH6" s="757"/>
      <c r="CI6" s="757"/>
      <c r="CJ6" s="757"/>
      <c r="CK6" s="757"/>
      <c r="CL6" s="757"/>
      <c r="CM6" s="757"/>
      <c r="CN6" s="757"/>
      <c r="CO6" s="757"/>
      <c r="CP6" s="757"/>
      <c r="CQ6" s="757"/>
      <c r="CR6" s="757"/>
      <c r="CS6" s="757"/>
      <c r="CT6" s="757"/>
      <c r="CU6" s="757"/>
      <c r="CV6" s="757"/>
      <c r="CW6" s="757"/>
      <c r="CX6" s="757"/>
      <c r="CY6" s="757"/>
      <c r="CZ6" s="757"/>
      <c r="DA6" s="757"/>
      <c r="DB6" s="757"/>
      <c r="DC6" s="757"/>
      <c r="DD6" s="757"/>
      <c r="DE6" s="757"/>
      <c r="DF6" s="757"/>
      <c r="DG6" s="757"/>
      <c r="DH6" s="757"/>
      <c r="DI6" s="757"/>
      <c r="DJ6" s="757"/>
      <c r="DK6" s="757"/>
      <c r="DL6" s="757"/>
      <c r="DM6" s="757"/>
      <c r="DN6" s="757"/>
      <c r="DO6" s="757"/>
      <c r="DP6" s="757"/>
      <c r="DQ6" s="757"/>
      <c r="DR6" s="757"/>
      <c r="DS6" s="757"/>
      <c r="DT6" s="776"/>
      <c r="DX6" s="753"/>
      <c r="DY6" s="811"/>
    </row>
    <row r="7" spans="1:133" ht="12.75" customHeight="1">
      <c r="A7" s="854" t="s">
        <v>57</v>
      </c>
      <c r="B7" s="753"/>
      <c r="C7" s="33"/>
      <c r="D7" s="811"/>
      <c r="E7" s="1257"/>
      <c r="F7" s="753"/>
      <c r="G7" s="753"/>
      <c r="H7" s="753"/>
      <c r="I7" s="1258"/>
      <c r="J7" s="1081"/>
      <c r="K7" s="1076">
        <v>1</v>
      </c>
      <c r="L7" s="1082" t="s">
        <v>31</v>
      </c>
      <c r="M7" s="1082">
        <v>1</v>
      </c>
      <c r="N7" s="1082">
        <v>1</v>
      </c>
      <c r="O7" s="1082">
        <v>1</v>
      </c>
      <c r="P7" s="1082">
        <v>1</v>
      </c>
      <c r="Q7" s="1082">
        <v>1</v>
      </c>
      <c r="R7" s="1083">
        <v>1</v>
      </c>
      <c r="S7" s="1083"/>
      <c r="T7" s="1190" t="s">
        <v>829</v>
      </c>
      <c r="U7" s="1191" t="s">
        <v>830</v>
      </c>
      <c r="V7" s="1119">
        <v>4</v>
      </c>
      <c r="W7" s="1119">
        <v>2</v>
      </c>
      <c r="X7" s="1119">
        <v>3.5</v>
      </c>
      <c r="Y7" s="1119" t="s">
        <v>110</v>
      </c>
      <c r="Z7" s="1119" t="s">
        <v>110</v>
      </c>
      <c r="AA7" s="1119" t="s">
        <v>110</v>
      </c>
      <c r="AB7" s="1119" t="s">
        <v>110</v>
      </c>
      <c r="AC7" s="1119" t="s">
        <v>110</v>
      </c>
      <c r="AF7" s="1080"/>
      <c r="AG7" s="757"/>
      <c r="AH7" s="757"/>
      <c r="AI7" s="757"/>
      <c r="AJ7" s="757"/>
      <c r="AK7" s="757"/>
      <c r="AL7" s="757"/>
      <c r="AM7" s="757"/>
      <c r="AN7" s="778"/>
      <c r="AO7" s="1423" t="s">
        <v>831</v>
      </c>
      <c r="AP7" s="1411"/>
      <c r="AQ7" s="1411"/>
      <c r="AR7" s="1411"/>
      <c r="AS7" s="1412"/>
      <c r="AT7" s="667">
        <v>6</v>
      </c>
      <c r="AU7" s="667">
        <v>2</v>
      </c>
      <c r="AV7" s="667">
        <v>5</v>
      </c>
      <c r="AW7" s="668" t="s">
        <v>110</v>
      </c>
      <c r="AX7" s="668" t="s">
        <v>110</v>
      </c>
      <c r="AY7" s="667">
        <v>160</v>
      </c>
      <c r="AZ7" s="667">
        <v>160</v>
      </c>
      <c r="BA7" s="667">
        <v>100</v>
      </c>
      <c r="BB7" s="757"/>
      <c r="BC7" s="757"/>
      <c r="BD7" s="757"/>
      <c r="BE7" s="757"/>
      <c r="BF7" s="757"/>
      <c r="BG7" s="757"/>
      <c r="BH7" s="757"/>
      <c r="BI7" s="757"/>
      <c r="BJ7" s="757"/>
      <c r="BK7" s="757"/>
      <c r="BL7" s="757"/>
      <c r="BM7" s="757"/>
      <c r="BN7" s="757"/>
      <c r="BO7" s="757"/>
      <c r="BP7" s="757"/>
      <c r="BQ7" s="757"/>
      <c r="BR7" s="757"/>
      <c r="BS7" s="757"/>
      <c r="BT7" s="757"/>
      <c r="BU7" s="757"/>
      <c r="BV7" s="757"/>
      <c r="BW7" s="757"/>
      <c r="BX7" s="757"/>
      <c r="BY7" s="757"/>
      <c r="BZ7" s="757"/>
      <c r="CA7" s="757"/>
      <c r="CB7" s="757"/>
      <c r="CC7" s="757"/>
      <c r="CD7" s="757"/>
      <c r="CE7" s="757"/>
      <c r="CF7" s="757"/>
      <c r="CG7" s="757"/>
      <c r="CH7" s="757"/>
      <c r="CI7" s="757"/>
      <c r="CJ7" s="757"/>
      <c r="CK7" s="757"/>
      <c r="CL7" s="757"/>
      <c r="CM7" s="757"/>
      <c r="CN7" s="757"/>
      <c r="CO7" s="757"/>
      <c r="CP7" s="757"/>
      <c r="CQ7" s="757"/>
      <c r="CR7" s="757"/>
      <c r="CS7" s="757"/>
      <c r="CT7" s="757"/>
      <c r="CU7" s="757"/>
      <c r="CV7" s="757"/>
      <c r="CW7" s="757"/>
      <c r="CX7" s="757"/>
      <c r="CY7" s="757"/>
      <c r="CZ7" s="757"/>
      <c r="DA7" s="757"/>
      <c r="DB7" s="757"/>
      <c r="DC7" s="757"/>
      <c r="DD7" s="757"/>
      <c r="DE7" s="757"/>
      <c r="DF7" s="757"/>
      <c r="DG7" s="757"/>
      <c r="DH7" s="757"/>
      <c r="DI7" s="757"/>
      <c r="DJ7" s="757"/>
      <c r="DK7" s="757"/>
      <c r="DL7" s="757"/>
      <c r="DM7" s="757"/>
      <c r="DN7" s="757"/>
      <c r="DO7" s="757"/>
      <c r="DP7" s="757"/>
      <c r="DQ7" s="757"/>
      <c r="DR7" s="757"/>
      <c r="DS7" s="757"/>
      <c r="DT7" s="776"/>
      <c r="DX7" s="753"/>
      <c r="DY7" s="778"/>
      <c r="DZ7" s="753"/>
      <c r="EC7" s="819"/>
    </row>
    <row r="8" spans="1:133" ht="12.75" customHeight="1">
      <c r="A8" s="854"/>
      <c r="B8" s="798" t="s">
        <v>346</v>
      </c>
      <c r="C8" s="285" t="s">
        <v>30</v>
      </c>
      <c r="D8" s="55" t="s">
        <v>406</v>
      </c>
      <c r="E8" s="780"/>
      <c r="F8" s="780"/>
      <c r="G8" s="780"/>
      <c r="H8" s="780"/>
      <c r="I8" s="848"/>
      <c r="J8" s="1081"/>
      <c r="K8" s="1076">
        <v>1.25</v>
      </c>
      <c r="L8" s="1082" t="s">
        <v>33</v>
      </c>
      <c r="M8" s="1082">
        <v>1.2</v>
      </c>
      <c r="N8" s="1082">
        <v>1.2</v>
      </c>
      <c r="O8" s="1082">
        <v>1.1000000000000001</v>
      </c>
      <c r="P8" s="1082">
        <v>1</v>
      </c>
      <c r="Q8" s="1082">
        <v>1</v>
      </c>
      <c r="R8" s="1087">
        <f>IF($C$12&lt;=0.25,1.2,IF(AND($C$12&gt;0.25,$C$12&lt;=0.5),(1.2-1.2)*($C$12-0.25)/(0.5-0.25)+1.2,IF(AND($C$12&gt;0.5,$C$12&lt;=0.75),(1.1-1.2)*($C$12-0.5)/(0.75-0.5)+1.2,IF(AND($C$12&gt;0.75,$C$12&lt;=1),(1-1.1)*($C$12-0.75)/(1-0.75)+1.1,IF(AND($C$12&gt;1,$C$12&lt;=1.25),(1-1)*($C$12-1)/(1.25-1)+1,1)))))</f>
        <v>1</v>
      </c>
      <c r="T8" s="1077" t="s">
        <v>832</v>
      </c>
      <c r="U8" s="1078" t="s">
        <v>833</v>
      </c>
      <c r="V8" s="1123">
        <v>6</v>
      </c>
      <c r="W8" s="1123">
        <v>2</v>
      </c>
      <c r="X8" s="1123">
        <v>5</v>
      </c>
      <c r="Y8" s="1123" t="s">
        <v>110</v>
      </c>
      <c r="Z8" s="1123" t="s">
        <v>110</v>
      </c>
      <c r="AA8" s="1123">
        <v>160</v>
      </c>
      <c r="AB8" s="1123">
        <v>160</v>
      </c>
      <c r="AC8" s="1123">
        <v>100</v>
      </c>
      <c r="AF8" s="1088"/>
      <c r="AG8" s="757"/>
      <c r="AH8" s="61" t="s">
        <v>506</v>
      </c>
      <c r="AI8" s="62"/>
      <c r="AJ8" s="62"/>
      <c r="AK8" s="63"/>
      <c r="AL8" s="589"/>
      <c r="AM8" s="589"/>
      <c r="AN8" s="1040"/>
      <c r="AO8" s="1407" t="s">
        <v>834</v>
      </c>
      <c r="AP8" s="1408"/>
      <c r="AQ8" s="1408"/>
      <c r="AR8" s="1408"/>
      <c r="AS8" s="1409"/>
      <c r="AT8" s="669">
        <v>3.25</v>
      </c>
      <c r="AU8" s="669">
        <v>2</v>
      </c>
      <c r="AV8" s="669">
        <v>3.25</v>
      </c>
      <c r="AW8" s="670" t="s">
        <v>110</v>
      </c>
      <c r="AX8" s="670" t="s">
        <v>110</v>
      </c>
      <c r="AY8" s="669" t="s">
        <v>835</v>
      </c>
      <c r="AZ8" s="669" t="s">
        <v>835</v>
      </c>
      <c r="BA8" s="671" t="s">
        <v>836</v>
      </c>
      <c r="BB8" s="757"/>
      <c r="BC8" s="757"/>
      <c r="BD8" s="757"/>
      <c r="BE8" s="757"/>
      <c r="BF8" s="757"/>
      <c r="BG8" s="757"/>
      <c r="BH8" s="757"/>
      <c r="BI8" s="757"/>
      <c r="BJ8" s="757"/>
      <c r="BK8" s="757"/>
      <c r="BL8" s="757"/>
      <c r="BM8" s="757"/>
      <c r="BN8" s="757"/>
      <c r="BO8" s="757"/>
      <c r="BP8" s="757"/>
      <c r="BQ8" s="757"/>
      <c r="BR8" s="757"/>
      <c r="BS8" s="757"/>
      <c r="BT8" s="757"/>
      <c r="BU8" s="757"/>
      <c r="BV8" s="757"/>
      <c r="BW8" s="757"/>
      <c r="BX8" s="757"/>
      <c r="BY8" s="757"/>
      <c r="BZ8" s="757"/>
      <c r="CA8" s="757"/>
      <c r="CB8" s="757"/>
      <c r="CC8" s="757"/>
      <c r="CD8" s="757"/>
      <c r="CE8" s="757"/>
      <c r="CF8" s="757"/>
      <c r="CG8" s="757"/>
      <c r="CH8" s="757"/>
      <c r="CI8" s="757"/>
      <c r="CJ8" s="757"/>
      <c r="CK8" s="757"/>
      <c r="CL8" s="757"/>
      <c r="CM8" s="757"/>
      <c r="CN8" s="757"/>
      <c r="CO8" s="757"/>
      <c r="CP8" s="757"/>
      <c r="CQ8" s="757"/>
      <c r="CR8" s="757"/>
      <c r="CS8" s="757"/>
      <c r="CT8" s="757"/>
      <c r="CU8" s="757"/>
      <c r="CV8" s="757"/>
      <c r="CW8" s="757"/>
      <c r="CX8" s="757"/>
      <c r="CY8" s="757"/>
      <c r="CZ8" s="757"/>
      <c r="DA8" s="757"/>
      <c r="DB8" s="757"/>
      <c r="DC8" s="757"/>
      <c r="DD8" s="757"/>
      <c r="DE8" s="757"/>
      <c r="DF8" s="757"/>
      <c r="DG8" s="757"/>
      <c r="DH8" s="757"/>
      <c r="DI8" s="757"/>
      <c r="DJ8" s="757"/>
      <c r="DK8" s="757"/>
      <c r="DL8" s="757"/>
      <c r="DM8" s="757"/>
      <c r="DN8" s="757"/>
      <c r="DO8" s="757"/>
      <c r="DP8" s="757"/>
      <c r="DQ8" s="757"/>
      <c r="DR8" s="757"/>
      <c r="DS8" s="757"/>
      <c r="DT8" s="776"/>
      <c r="DX8" s="753"/>
      <c r="DY8" s="778"/>
      <c r="DZ8" s="753"/>
      <c r="EC8" s="819"/>
    </row>
    <row r="9" spans="1:133" ht="12.75" customHeight="1">
      <c r="A9" s="854"/>
      <c r="B9" s="798" t="s">
        <v>213</v>
      </c>
      <c r="C9" s="897">
        <f>IF($C$8="I",1,IF($C$8="II",1,IF($C$8="III",1.25,IF($C$8="IV",1.5))))</f>
        <v>1</v>
      </c>
      <c r="D9" s="55" t="s">
        <v>407</v>
      </c>
      <c r="E9" s="780"/>
      <c r="F9" s="780"/>
      <c r="G9" s="780"/>
      <c r="H9" s="780"/>
      <c r="I9" s="848"/>
      <c r="J9" s="1081"/>
      <c r="K9" s="1076">
        <v>1.5</v>
      </c>
      <c r="L9" s="1082" t="s">
        <v>32</v>
      </c>
      <c r="M9" s="1082">
        <v>1.6</v>
      </c>
      <c r="N9" s="1082">
        <v>1.4</v>
      </c>
      <c r="O9" s="1082">
        <v>1.2</v>
      </c>
      <c r="P9" s="1082">
        <v>1.1000000000000001</v>
      </c>
      <c r="Q9" s="1082">
        <v>1</v>
      </c>
      <c r="R9" s="1087">
        <f>IF($C$12&lt;=0.25,1.6,IF(AND($C$12&gt;0.25,$C$12&lt;=0.5),(1.4-1.6)*($C$12-0.25)/(0.5-0.25)+1.6,IF(AND($C$12&gt;0.5,$C$12&lt;=0.75),(1.2-1.4)*($C$12-0.5)/(0.75-0.5)+1.4,IF(AND($C$12&gt;0.75,$C$12&lt;=1),(1.1-1.2)*($C$12-0.75)/(1-0.75)+1.2,IF(AND($C$12&gt;1,$C$12&lt;=1.25),(1-1.1)*($C$12-1)/(1.25-1)+1.1,1)))))</f>
        <v>1</v>
      </c>
      <c r="T9" s="1116" t="s">
        <v>837</v>
      </c>
      <c r="U9" s="1117" t="s">
        <v>838</v>
      </c>
      <c r="V9" s="1126">
        <v>3.25</v>
      </c>
      <c r="W9" s="1126">
        <v>2</v>
      </c>
      <c r="X9" s="1126">
        <v>3.25</v>
      </c>
      <c r="Y9" s="1126" t="s">
        <v>110</v>
      </c>
      <c r="Z9" s="1126" t="s">
        <v>110</v>
      </c>
      <c r="AA9" s="1126">
        <v>35</v>
      </c>
      <c r="AB9" s="1126">
        <v>35</v>
      </c>
      <c r="AC9" s="1126" t="s">
        <v>112</v>
      </c>
      <c r="AF9" s="1088"/>
      <c r="AG9" s="757"/>
      <c r="AH9" s="1377" t="s">
        <v>507</v>
      </c>
      <c r="AI9" s="1420"/>
      <c r="AJ9" s="1420"/>
      <c r="AK9" s="1420"/>
      <c r="AL9" s="1420"/>
      <c r="AM9" s="1420"/>
      <c r="AN9" s="757"/>
      <c r="AO9" s="1407" t="s">
        <v>839</v>
      </c>
      <c r="AP9" s="1408"/>
      <c r="AQ9" s="1408"/>
      <c r="AR9" s="1408"/>
      <c r="AS9" s="1409"/>
      <c r="AT9" s="669">
        <v>2.5</v>
      </c>
      <c r="AU9" s="669">
        <v>2</v>
      </c>
      <c r="AV9" s="669">
        <v>2.5</v>
      </c>
      <c r="AW9" s="670" t="s">
        <v>110</v>
      </c>
      <c r="AX9" s="670" t="s">
        <v>110</v>
      </c>
      <c r="AY9" s="669">
        <v>160</v>
      </c>
      <c r="AZ9" s="669">
        <v>160</v>
      </c>
      <c r="BA9" s="669">
        <v>100</v>
      </c>
      <c r="BB9" s="757"/>
      <c r="BC9" s="757"/>
      <c r="BD9" s="757"/>
      <c r="BE9" s="757"/>
      <c r="BF9" s="757"/>
      <c r="BG9" s="757"/>
      <c r="BH9" s="757"/>
      <c r="BI9" s="757"/>
      <c r="BJ9" s="757"/>
      <c r="BK9" s="757"/>
      <c r="BL9" s="757"/>
      <c r="BM9" s="757"/>
      <c r="BN9" s="757"/>
      <c r="BO9" s="757"/>
      <c r="BP9" s="757"/>
      <c r="BQ9" s="757"/>
      <c r="BR9" s="757"/>
      <c r="BS9" s="757"/>
      <c r="BT9" s="757"/>
      <c r="BU9" s="757"/>
      <c r="BV9" s="757"/>
      <c r="BW9" s="757"/>
      <c r="BX9" s="757"/>
      <c r="BY9" s="757"/>
      <c r="BZ9" s="757"/>
      <c r="CA9" s="757"/>
      <c r="CB9" s="757"/>
      <c r="CC9" s="757"/>
      <c r="CD9" s="757"/>
      <c r="CE9" s="757"/>
      <c r="CF9" s="757"/>
      <c r="CG9" s="757"/>
      <c r="CH9" s="757"/>
      <c r="CI9" s="757"/>
      <c r="CJ9" s="757"/>
      <c r="CK9" s="757"/>
      <c r="CL9" s="757"/>
      <c r="CM9" s="757"/>
      <c r="CN9" s="757"/>
      <c r="CO9" s="757"/>
      <c r="CP9" s="757"/>
      <c r="CQ9" s="757"/>
      <c r="CR9" s="757"/>
      <c r="CS9" s="757"/>
      <c r="CT9" s="757"/>
      <c r="CU9" s="757"/>
      <c r="CV9" s="757"/>
      <c r="CW9" s="757"/>
      <c r="CX9" s="757"/>
      <c r="CY9" s="757"/>
      <c r="CZ9" s="757"/>
      <c r="DA9" s="757"/>
      <c r="DB9" s="757"/>
      <c r="DC9" s="757"/>
      <c r="DD9" s="757"/>
      <c r="DE9" s="757"/>
      <c r="DF9" s="757"/>
      <c r="DG9" s="757"/>
      <c r="DH9" s="757"/>
      <c r="DI9" s="757"/>
      <c r="DJ9" s="757"/>
      <c r="DK9" s="757"/>
      <c r="DL9" s="757"/>
      <c r="DM9" s="757"/>
      <c r="DN9" s="757"/>
      <c r="DO9" s="757"/>
      <c r="DP9" s="757"/>
      <c r="DQ9" s="757"/>
      <c r="DR9" s="757"/>
      <c r="DS9" s="757"/>
      <c r="DT9" s="776"/>
      <c r="DX9" s="753"/>
      <c r="DY9" s="778"/>
      <c r="DZ9" s="753"/>
      <c r="EC9" s="819"/>
    </row>
    <row r="10" spans="1:133" ht="12.75" customHeight="1">
      <c r="A10" s="854"/>
      <c r="B10" s="798" t="s">
        <v>144</v>
      </c>
      <c r="C10" s="2" t="s">
        <v>32</v>
      </c>
      <c r="D10" s="55" t="s">
        <v>408</v>
      </c>
      <c r="E10" s="780"/>
      <c r="F10" s="849"/>
      <c r="G10" s="780"/>
      <c r="H10" s="780"/>
      <c r="I10" s="848"/>
      <c r="J10" s="1081"/>
      <c r="K10" s="1087" t="s">
        <v>29</v>
      </c>
      <c r="L10" s="1082" t="s">
        <v>35</v>
      </c>
      <c r="M10" s="1082">
        <v>2.5</v>
      </c>
      <c r="N10" s="1082">
        <v>1.7</v>
      </c>
      <c r="O10" s="1082">
        <v>1.2</v>
      </c>
      <c r="P10" s="1082">
        <v>0.9</v>
      </c>
      <c r="Q10" s="1082">
        <v>0.9</v>
      </c>
      <c r="R10" s="1087">
        <f>IF($C$12&lt;=0.25,2.5,IF(AND($C$12&gt;0.25,$C$12&lt;=0.5),(1.7-2.5)*($C$12-0.25)/(0.5-0.25)+2.5,IF(AND($C$12&gt;0.5,$C$12&lt;=0.75),(1.2-1.7)*($C$12-0.5)/(0.75-0.5)+1.7,IF(AND($C$12&gt;0.75,$C$12&lt;=1),(0.9-1.2)*($C$12-0.75)/(1-0.75)+1.2,IF(AND($C$12&gt;1,$C$12&lt;=1.25),0.9,0.9)))))</f>
        <v>0.9</v>
      </c>
      <c r="T10" s="1116" t="s">
        <v>840</v>
      </c>
      <c r="U10" s="1117" t="s">
        <v>841</v>
      </c>
      <c r="V10" s="1126">
        <v>2.5</v>
      </c>
      <c r="W10" s="1126">
        <v>2</v>
      </c>
      <c r="X10" s="1126">
        <v>2.5</v>
      </c>
      <c r="Y10" s="1126" t="s">
        <v>110</v>
      </c>
      <c r="Z10" s="1126" t="s">
        <v>110</v>
      </c>
      <c r="AA10" s="1126">
        <v>160</v>
      </c>
      <c r="AB10" s="1126">
        <v>160</v>
      </c>
      <c r="AC10" s="1126">
        <v>100</v>
      </c>
      <c r="AG10" s="757"/>
      <c r="AH10" s="760"/>
      <c r="AI10" s="760"/>
      <c r="AJ10" s="760"/>
      <c r="AK10" s="760"/>
      <c r="AL10" s="760"/>
      <c r="AM10" s="760"/>
      <c r="AN10" s="757"/>
      <c r="AO10" s="1424" t="s">
        <v>842</v>
      </c>
      <c r="AP10" s="1414"/>
      <c r="AQ10" s="1414"/>
      <c r="AR10" s="1414"/>
      <c r="AS10" s="1415"/>
      <c r="AT10" s="712">
        <v>1.5</v>
      </c>
      <c r="AU10" s="712">
        <v>1</v>
      </c>
      <c r="AV10" s="712">
        <v>1.5</v>
      </c>
      <c r="AW10" s="731" t="s">
        <v>110</v>
      </c>
      <c r="AX10" s="731" t="s">
        <v>110</v>
      </c>
      <c r="AY10" s="731" t="s">
        <v>110</v>
      </c>
      <c r="AZ10" s="731" t="s">
        <v>110</v>
      </c>
      <c r="BA10" s="731" t="s">
        <v>110</v>
      </c>
      <c r="BB10" s="757"/>
      <c r="BC10" s="757"/>
      <c r="BD10" s="757"/>
      <c r="BE10" s="757"/>
      <c r="BF10" s="757"/>
      <c r="BG10" s="757"/>
      <c r="BH10" s="757"/>
      <c r="BI10" s="757"/>
      <c r="BJ10" s="757"/>
      <c r="BK10" s="757"/>
      <c r="BL10" s="757"/>
      <c r="BM10" s="757"/>
      <c r="BN10" s="757"/>
      <c r="BO10" s="757"/>
      <c r="BP10" s="757"/>
      <c r="BQ10" s="757"/>
      <c r="BR10" s="757"/>
      <c r="BS10" s="757"/>
      <c r="BT10" s="757"/>
      <c r="BU10" s="757"/>
      <c r="BV10" s="757"/>
      <c r="BW10" s="757"/>
      <c r="BX10" s="757"/>
      <c r="BY10" s="757"/>
      <c r="BZ10" s="757"/>
      <c r="CA10" s="757"/>
      <c r="CB10" s="757"/>
      <c r="CC10" s="757"/>
      <c r="CD10" s="757"/>
      <c r="CE10" s="757"/>
      <c r="CF10" s="757"/>
      <c r="CG10" s="757"/>
      <c r="CH10" s="757"/>
      <c r="CI10" s="757"/>
      <c r="CJ10" s="757"/>
      <c r="CK10" s="757"/>
      <c r="CL10" s="757"/>
      <c r="CM10" s="757"/>
      <c r="CN10" s="757"/>
      <c r="CO10" s="757"/>
      <c r="CP10" s="757"/>
      <c r="CQ10" s="757"/>
      <c r="CR10" s="757"/>
      <c r="CS10" s="757"/>
      <c r="CT10" s="757"/>
      <c r="CU10" s="757"/>
      <c r="CV10" s="757"/>
      <c r="CW10" s="757"/>
      <c r="CX10" s="757"/>
      <c r="CY10" s="757"/>
      <c r="CZ10" s="757"/>
      <c r="DA10" s="757"/>
      <c r="DB10" s="757"/>
      <c r="DC10" s="757"/>
      <c r="DD10" s="757"/>
      <c r="DE10" s="757"/>
      <c r="DF10" s="757"/>
      <c r="DG10" s="757"/>
      <c r="DH10" s="757"/>
      <c r="DI10" s="757"/>
      <c r="DJ10" s="757"/>
      <c r="DK10" s="757"/>
      <c r="DL10" s="757"/>
      <c r="DM10" s="757"/>
      <c r="DN10" s="757"/>
      <c r="DO10" s="757"/>
      <c r="DP10" s="757"/>
      <c r="DQ10" s="757"/>
      <c r="DR10" s="757"/>
      <c r="DS10" s="757"/>
      <c r="DT10" s="776"/>
      <c r="DX10" s="753"/>
      <c r="DY10" s="778"/>
      <c r="DZ10" s="753"/>
      <c r="EC10" s="819"/>
    </row>
    <row r="11" spans="1:133" ht="12.75" customHeight="1">
      <c r="A11" s="855"/>
      <c r="B11" s="798" t="s">
        <v>42</v>
      </c>
      <c r="C11" s="284"/>
      <c r="D11" s="55" t="str">
        <f>IF($C$11="","(not required)","")</f>
        <v>(not required)</v>
      </c>
      <c r="E11" s="780"/>
      <c r="F11" s="849"/>
      <c r="G11" s="780"/>
      <c r="H11" s="780"/>
      <c r="I11" s="848"/>
      <c r="J11" s="1081"/>
      <c r="K11" s="1087" t="s">
        <v>31</v>
      </c>
      <c r="L11" s="1089" t="s">
        <v>36</v>
      </c>
      <c r="M11" s="1089" t="s">
        <v>38</v>
      </c>
      <c r="N11" s="1089" t="s">
        <v>38</v>
      </c>
      <c r="O11" s="1089" t="s">
        <v>38</v>
      </c>
      <c r="P11" s="1089" t="s">
        <v>38</v>
      </c>
      <c r="Q11" s="1089" t="s">
        <v>38</v>
      </c>
      <c r="R11" s="1090" t="s">
        <v>38</v>
      </c>
      <c r="T11" s="1084" t="s">
        <v>843</v>
      </c>
      <c r="U11" s="1085" t="s">
        <v>844</v>
      </c>
      <c r="V11" s="1128">
        <v>1.5</v>
      </c>
      <c r="W11" s="1128">
        <v>1</v>
      </c>
      <c r="X11" s="1128">
        <v>1.5</v>
      </c>
      <c r="Y11" s="1128" t="s">
        <v>110</v>
      </c>
      <c r="Z11" s="1128" t="s">
        <v>110</v>
      </c>
      <c r="AA11" s="1128" t="s">
        <v>110</v>
      </c>
      <c r="AB11" s="1128" t="s">
        <v>110</v>
      </c>
      <c r="AC11" s="1128" t="s">
        <v>110</v>
      </c>
      <c r="AF11" s="1088"/>
      <c r="AG11" s="757"/>
      <c r="AH11" s="762"/>
      <c r="AI11" s="762"/>
      <c r="AJ11" s="762"/>
      <c r="AK11" s="762"/>
      <c r="AL11" s="762"/>
      <c r="AM11" s="762"/>
      <c r="AN11" s="757"/>
      <c r="AO11" s="1423" t="s">
        <v>845</v>
      </c>
      <c r="AP11" s="1411"/>
      <c r="AQ11" s="1411"/>
      <c r="AR11" s="1411"/>
      <c r="AS11" s="1412"/>
      <c r="AT11" s="667">
        <v>8</v>
      </c>
      <c r="AU11" s="667">
        <v>3</v>
      </c>
      <c r="AV11" s="667">
        <v>5.5</v>
      </c>
      <c r="AW11" s="668" t="s">
        <v>110</v>
      </c>
      <c r="AX11" s="668" t="s">
        <v>110</v>
      </c>
      <c r="AY11" s="668" t="s">
        <v>110</v>
      </c>
      <c r="AZ11" s="668" t="s">
        <v>110</v>
      </c>
      <c r="BA11" s="733" t="s">
        <v>110</v>
      </c>
      <c r="BB11" s="757"/>
      <c r="BC11" s="757"/>
      <c r="BD11" s="757"/>
      <c r="BE11" s="757"/>
      <c r="BF11" s="757"/>
      <c r="BG11" s="757"/>
      <c r="BH11" s="757"/>
      <c r="BI11" s="757"/>
      <c r="BJ11" s="757"/>
      <c r="BK11" s="757"/>
      <c r="BL11" s="757"/>
      <c r="BM11" s="757"/>
      <c r="BN11" s="757"/>
      <c r="BO11" s="757"/>
      <c r="BP11" s="757"/>
      <c r="BQ11" s="757"/>
      <c r="BR11" s="757"/>
      <c r="BS11" s="757"/>
      <c r="BT11" s="757"/>
      <c r="BU11" s="757"/>
      <c r="BV11" s="757"/>
      <c r="BW11" s="757"/>
      <c r="BX11" s="757"/>
      <c r="BY11" s="757"/>
      <c r="BZ11" s="757"/>
      <c r="CA11" s="757"/>
      <c r="CB11" s="757"/>
      <c r="CC11" s="757"/>
      <c r="CD11" s="757"/>
      <c r="CE11" s="757"/>
      <c r="CF11" s="757"/>
      <c r="CG11" s="757"/>
      <c r="CH11" s="757"/>
      <c r="CI11" s="757"/>
      <c r="CJ11" s="757"/>
      <c r="CK11" s="757"/>
      <c r="CL11" s="757"/>
      <c r="CM11" s="757"/>
      <c r="CN11" s="757"/>
      <c r="CO11" s="757"/>
      <c r="CP11" s="757"/>
      <c r="CQ11" s="757"/>
      <c r="CR11" s="757"/>
      <c r="CS11" s="757"/>
      <c r="CT11" s="757"/>
      <c r="CU11" s="757"/>
      <c r="CV11" s="757"/>
      <c r="CW11" s="757"/>
      <c r="CX11" s="757"/>
      <c r="CY11" s="757"/>
      <c r="CZ11" s="757"/>
      <c r="DA11" s="757"/>
      <c r="DB11" s="757"/>
      <c r="DC11" s="757"/>
      <c r="DD11" s="757"/>
      <c r="DE11" s="757"/>
      <c r="DF11" s="757"/>
      <c r="DG11" s="757"/>
      <c r="DH11" s="757"/>
      <c r="DI11" s="757"/>
      <c r="DJ11" s="757"/>
      <c r="DK11" s="757"/>
      <c r="DL11" s="757"/>
      <c r="DM11" s="757"/>
      <c r="DN11" s="757"/>
      <c r="DO11" s="757"/>
      <c r="DP11" s="757"/>
      <c r="DQ11" s="757"/>
      <c r="DR11" s="757"/>
      <c r="DS11" s="757"/>
      <c r="DT11" s="776"/>
      <c r="DX11" s="753"/>
      <c r="DY11" s="778"/>
      <c r="DZ11" s="753"/>
      <c r="EC11" s="819"/>
    </row>
    <row r="12" spans="1:133" ht="12.75" customHeight="1">
      <c r="A12" s="856"/>
      <c r="B12" s="798" t="s">
        <v>151</v>
      </c>
      <c r="C12" s="262">
        <v>2.46</v>
      </c>
      <c r="D12" s="81" t="s">
        <v>411</v>
      </c>
      <c r="E12" s="798"/>
      <c r="F12" s="799"/>
      <c r="G12" s="780"/>
      <c r="H12" s="780"/>
      <c r="I12" s="848"/>
      <c r="J12" s="1081"/>
      <c r="K12" s="1087" t="s">
        <v>33</v>
      </c>
      <c r="O12" s="1039"/>
      <c r="P12" s="1090"/>
      <c r="T12" s="1077" t="s">
        <v>846</v>
      </c>
      <c r="U12" s="1078" t="s">
        <v>847</v>
      </c>
      <c r="V12" s="1123">
        <v>8</v>
      </c>
      <c r="W12" s="1123">
        <v>3</v>
      </c>
      <c r="X12" s="1123">
        <v>5.5</v>
      </c>
      <c r="Y12" s="1123" t="s">
        <v>110</v>
      </c>
      <c r="Z12" s="1123" t="s">
        <v>110</v>
      </c>
      <c r="AA12" s="1123" t="s">
        <v>110</v>
      </c>
      <c r="AB12" s="1123" t="s">
        <v>110</v>
      </c>
      <c r="AC12" s="1192" t="s">
        <v>110</v>
      </c>
      <c r="AF12" s="1088"/>
      <c r="AG12" s="753"/>
      <c r="AH12" s="760"/>
      <c r="AI12" s="760"/>
      <c r="AJ12" s="760"/>
      <c r="AK12" s="760"/>
      <c r="AL12" s="760"/>
      <c r="AM12" s="760"/>
      <c r="AN12" s="753"/>
      <c r="AO12" s="1407" t="s">
        <v>848</v>
      </c>
      <c r="AP12" s="1408"/>
      <c r="AQ12" s="1408"/>
      <c r="AR12" s="1408"/>
      <c r="AS12" s="1409"/>
      <c r="AT12" s="669">
        <v>8</v>
      </c>
      <c r="AU12" s="669">
        <v>3</v>
      </c>
      <c r="AV12" s="669">
        <v>5.5</v>
      </c>
      <c r="AW12" s="670" t="s">
        <v>110</v>
      </c>
      <c r="AX12" s="670" t="s">
        <v>110</v>
      </c>
      <c r="AY12" s="670" t="s">
        <v>110</v>
      </c>
      <c r="AZ12" s="670" t="s">
        <v>110</v>
      </c>
      <c r="BA12" s="681" t="s">
        <v>110</v>
      </c>
      <c r="BB12" s="918"/>
      <c r="BC12" s="918"/>
      <c r="BD12" s="918"/>
      <c r="BE12" s="918"/>
      <c r="BF12" s="918"/>
      <c r="BG12" s="918"/>
      <c r="BH12" s="918"/>
      <c r="BI12" s="918"/>
      <c r="BJ12" s="918"/>
      <c r="BK12" s="918"/>
      <c r="BL12" s="918"/>
      <c r="BM12" s="918"/>
      <c r="BN12" s="918"/>
      <c r="BO12" s="918"/>
      <c r="BP12" s="918"/>
      <c r="BQ12" s="918"/>
      <c r="BR12" s="918"/>
      <c r="BS12" s="918"/>
      <c r="BT12" s="918"/>
      <c r="BU12" s="757"/>
      <c r="BV12" s="757"/>
      <c r="BW12" s="757"/>
      <c r="BX12" s="757"/>
      <c r="BY12" s="757"/>
      <c r="BZ12" s="757"/>
      <c r="CA12" s="757"/>
      <c r="CB12" s="757"/>
      <c r="CC12" s="757"/>
      <c r="CD12" s="757"/>
      <c r="CE12" s="757"/>
      <c r="CF12" s="757"/>
      <c r="CG12" s="757"/>
      <c r="CH12" s="757"/>
      <c r="CI12" s="757"/>
      <c r="CJ12" s="757"/>
      <c r="CK12" s="757"/>
      <c r="CL12" s="757"/>
      <c r="CM12" s="757"/>
      <c r="CN12" s="757"/>
      <c r="CO12" s="757"/>
      <c r="CP12" s="757"/>
      <c r="CQ12" s="757"/>
      <c r="CR12" s="757"/>
      <c r="CS12" s="757"/>
      <c r="CT12" s="753"/>
      <c r="CU12" s="753"/>
      <c r="CV12" s="753"/>
      <c r="CW12" s="753"/>
      <c r="CX12" s="753"/>
      <c r="CY12" s="753"/>
      <c r="CZ12" s="753"/>
      <c r="DA12" s="753"/>
      <c r="DB12" s="753"/>
      <c r="DC12" s="753"/>
      <c r="DD12" s="753"/>
      <c r="DE12" s="753"/>
      <c r="DF12" s="753"/>
      <c r="DG12" s="753"/>
      <c r="DH12" s="753"/>
      <c r="DI12" s="753"/>
      <c r="DJ12" s="753"/>
      <c r="DK12" s="753"/>
      <c r="DL12" s="753"/>
      <c r="DM12" s="753"/>
      <c r="DN12" s="753"/>
      <c r="DO12" s="753"/>
      <c r="DP12" s="753"/>
      <c r="DQ12" s="753"/>
      <c r="DR12" s="753"/>
      <c r="DS12" s="753"/>
      <c r="DT12" s="776"/>
      <c r="DX12" s="753"/>
      <c r="DY12" s="778"/>
      <c r="DZ12" s="753"/>
      <c r="EC12" s="819"/>
    </row>
    <row r="13" spans="1:133" ht="12.75" customHeight="1">
      <c r="A13" s="857"/>
      <c r="B13" s="798" t="s">
        <v>152</v>
      </c>
      <c r="C13" s="262">
        <v>0.89400000000000002</v>
      </c>
      <c r="D13" s="81" t="s">
        <v>411</v>
      </c>
      <c r="E13" s="798"/>
      <c r="F13" s="799"/>
      <c r="G13" s="753"/>
      <c r="H13" s="780"/>
      <c r="I13" s="850"/>
      <c r="J13" s="1081"/>
      <c r="K13" s="1087" t="s">
        <v>32</v>
      </c>
      <c r="L13" s="35" t="s">
        <v>457</v>
      </c>
      <c r="M13" s="1067"/>
      <c r="N13" s="1067"/>
      <c r="O13" s="1067"/>
      <c r="P13" s="1067"/>
      <c r="Q13" s="1068"/>
      <c r="R13" s="773"/>
      <c r="T13" s="1116" t="s">
        <v>849</v>
      </c>
      <c r="U13" s="1117" t="s">
        <v>137</v>
      </c>
      <c r="V13" s="1126">
        <v>8</v>
      </c>
      <c r="W13" s="1126">
        <v>3</v>
      </c>
      <c r="X13" s="1126">
        <v>5.5</v>
      </c>
      <c r="Y13" s="1126" t="s">
        <v>110</v>
      </c>
      <c r="Z13" s="1126" t="s">
        <v>110</v>
      </c>
      <c r="AA13" s="1126" t="s">
        <v>110</v>
      </c>
      <c r="AB13" s="1126" t="s">
        <v>110</v>
      </c>
      <c r="AC13" s="1193" t="s">
        <v>110</v>
      </c>
      <c r="AF13" s="1088"/>
      <c r="AG13" s="753"/>
      <c r="AH13" s="760"/>
      <c r="AI13" s="760"/>
      <c r="AJ13" s="760"/>
      <c r="AK13" s="760"/>
      <c r="AL13" s="760"/>
      <c r="AM13" s="760"/>
      <c r="AN13" s="753"/>
      <c r="AO13" s="1407" t="s">
        <v>850</v>
      </c>
      <c r="AP13" s="1408"/>
      <c r="AQ13" s="1408"/>
      <c r="AR13" s="1408"/>
      <c r="AS13" s="1409"/>
      <c r="AT13" s="669">
        <v>4.5</v>
      </c>
      <c r="AU13" s="669">
        <v>3</v>
      </c>
      <c r="AV13" s="669">
        <v>4</v>
      </c>
      <c r="AW13" s="670" t="s">
        <v>110</v>
      </c>
      <c r="AX13" s="670" t="s">
        <v>110</v>
      </c>
      <c r="AY13" s="669" t="s">
        <v>851</v>
      </c>
      <c r="AZ13" s="671" t="s">
        <v>852</v>
      </c>
      <c r="BA13" s="671" t="s">
        <v>852</v>
      </c>
      <c r="BB13" s="918"/>
      <c r="BC13" s="918"/>
      <c r="BD13" s="918"/>
      <c r="BE13" s="918"/>
      <c r="BF13" s="918"/>
      <c r="BG13" s="918"/>
      <c r="BH13" s="918"/>
      <c r="BI13" s="918"/>
      <c r="BJ13" s="918"/>
      <c r="BK13" s="918"/>
      <c r="BL13" s="918"/>
      <c r="BM13" s="918"/>
      <c r="BN13" s="918"/>
      <c r="BO13" s="918"/>
      <c r="BP13" s="918"/>
      <c r="BQ13" s="918"/>
      <c r="BR13" s="918"/>
      <c r="BS13" s="918"/>
      <c r="BT13" s="918"/>
      <c r="BU13" s="757"/>
      <c r="BV13" s="757"/>
      <c r="BW13" s="757"/>
      <c r="BX13" s="757"/>
      <c r="BY13" s="757"/>
      <c r="BZ13" s="757"/>
      <c r="CA13" s="757"/>
      <c r="CB13" s="757"/>
      <c r="CC13" s="757"/>
      <c r="CD13" s="757"/>
      <c r="CE13" s="757"/>
      <c r="CF13" s="757"/>
      <c r="CG13" s="757"/>
      <c r="CH13" s="757"/>
      <c r="CI13" s="757"/>
      <c r="CJ13" s="757"/>
      <c r="CK13" s="757"/>
      <c r="CL13" s="757"/>
      <c r="CM13" s="757"/>
      <c r="CN13" s="757"/>
      <c r="CO13" s="757"/>
      <c r="CP13" s="757"/>
      <c r="CQ13" s="757"/>
      <c r="CR13" s="757"/>
      <c r="CS13" s="757"/>
      <c r="CT13" s="753"/>
      <c r="CU13" s="753"/>
      <c r="CV13" s="753"/>
      <c r="CW13" s="753"/>
      <c r="CX13" s="753"/>
      <c r="CY13" s="753"/>
      <c r="CZ13" s="753"/>
      <c r="DA13" s="753"/>
      <c r="DB13" s="753"/>
      <c r="DC13" s="753"/>
      <c r="DD13" s="753"/>
      <c r="DE13" s="753"/>
      <c r="DF13" s="753"/>
      <c r="DG13" s="753"/>
      <c r="DH13" s="753"/>
      <c r="DI13" s="753"/>
      <c r="DJ13" s="753"/>
      <c r="DK13" s="753"/>
      <c r="DL13" s="753"/>
      <c r="DM13" s="753"/>
      <c r="DN13" s="753"/>
      <c r="DO13" s="753"/>
      <c r="DP13" s="753"/>
      <c r="DQ13" s="753"/>
      <c r="DR13" s="753"/>
      <c r="DS13" s="753"/>
      <c r="DT13" s="776"/>
      <c r="DX13" s="753"/>
      <c r="DY13" s="778"/>
      <c r="DZ13" s="753"/>
      <c r="EC13" s="819"/>
    </row>
    <row r="14" spans="1:133" ht="12.75" customHeight="1">
      <c r="A14" s="857"/>
      <c r="B14" s="798" t="s">
        <v>853</v>
      </c>
      <c r="C14" s="262">
        <v>8</v>
      </c>
      <c r="D14" s="386" t="s">
        <v>412</v>
      </c>
      <c r="E14" s="780"/>
      <c r="F14" s="780"/>
      <c r="G14" s="780"/>
      <c r="H14" s="780"/>
      <c r="I14" s="829"/>
      <c r="J14" s="1081"/>
      <c r="K14" s="1087" t="s">
        <v>35</v>
      </c>
      <c r="L14" s="1069" t="s">
        <v>146</v>
      </c>
      <c r="M14" s="1070"/>
      <c r="N14" s="1070"/>
      <c r="O14" s="1070"/>
      <c r="P14" s="1070"/>
      <c r="Q14" s="1071"/>
      <c r="R14" s="773"/>
      <c r="T14" s="1116" t="s">
        <v>854</v>
      </c>
      <c r="U14" s="1117" t="s">
        <v>855</v>
      </c>
      <c r="V14" s="1126">
        <v>4.5</v>
      </c>
      <c r="W14" s="1126">
        <v>3</v>
      </c>
      <c r="X14" s="1126">
        <v>4</v>
      </c>
      <c r="Y14" s="1126" t="s">
        <v>110</v>
      </c>
      <c r="Z14" s="1126" t="s">
        <v>110</v>
      </c>
      <c r="AA14" s="1126">
        <v>35</v>
      </c>
      <c r="AB14" s="1126" t="s">
        <v>112</v>
      </c>
      <c r="AC14" s="1193" t="s">
        <v>112</v>
      </c>
      <c r="AF14" s="1088"/>
      <c r="AG14" s="753"/>
      <c r="AH14" s="760"/>
      <c r="AI14" s="760"/>
      <c r="AJ14" s="761"/>
      <c r="AK14" s="761"/>
      <c r="AL14" s="761"/>
      <c r="AM14" s="761"/>
      <c r="AN14" s="763"/>
      <c r="AO14" s="1407" t="s">
        <v>856</v>
      </c>
      <c r="AP14" s="1408"/>
      <c r="AQ14" s="1408"/>
      <c r="AR14" s="1408"/>
      <c r="AS14" s="1409"/>
      <c r="AT14" s="669">
        <v>2.5</v>
      </c>
      <c r="AU14" s="669">
        <v>2</v>
      </c>
      <c r="AV14" s="669">
        <v>2.5</v>
      </c>
      <c r="AW14" s="670" t="s">
        <v>110</v>
      </c>
      <c r="AX14" s="670" t="s">
        <v>110</v>
      </c>
      <c r="AY14" s="669">
        <v>160</v>
      </c>
      <c r="AZ14" s="669">
        <v>160</v>
      </c>
      <c r="BA14" s="684">
        <v>100</v>
      </c>
      <c r="BB14" s="753"/>
      <c r="BC14" s="753"/>
      <c r="BD14" s="753"/>
      <c r="BE14" s="753"/>
      <c r="BF14" s="753"/>
      <c r="BG14" s="753"/>
      <c r="BH14" s="753"/>
      <c r="BI14" s="753"/>
      <c r="BJ14" s="753"/>
      <c r="BK14" s="753"/>
      <c r="BL14" s="753"/>
      <c r="BM14" s="753"/>
      <c r="BN14" s="753"/>
      <c r="BO14" s="753"/>
      <c r="BP14" s="753"/>
      <c r="BQ14" s="753"/>
      <c r="BR14" s="753"/>
      <c r="BS14" s="753"/>
      <c r="BT14" s="753"/>
      <c r="BU14" s="757"/>
      <c r="BV14" s="757"/>
      <c r="BW14" s="757"/>
      <c r="BX14" s="757"/>
      <c r="BY14" s="757"/>
      <c r="BZ14" s="757"/>
      <c r="CA14" s="757"/>
      <c r="CB14" s="757"/>
      <c r="CC14" s="757"/>
      <c r="CD14" s="757"/>
      <c r="CE14" s="757"/>
      <c r="CF14" s="757"/>
      <c r="CG14" s="757"/>
      <c r="CH14" s="757"/>
      <c r="CI14" s="757"/>
      <c r="CJ14" s="757"/>
      <c r="CK14" s="757"/>
      <c r="CL14" s="757"/>
      <c r="CM14" s="757"/>
      <c r="CN14" s="757"/>
      <c r="CO14" s="757"/>
      <c r="CP14" s="757"/>
      <c r="CQ14" s="757"/>
      <c r="CR14" s="757"/>
      <c r="CS14" s="757"/>
      <c r="CT14" s="757"/>
      <c r="CU14" s="757"/>
      <c r="CV14" s="757"/>
      <c r="CW14" s="757"/>
      <c r="CX14" s="757"/>
      <c r="CY14" s="757"/>
      <c r="CZ14" s="757"/>
      <c r="DA14" s="757"/>
      <c r="DB14" s="757"/>
      <c r="DC14" s="757"/>
      <c r="DD14" s="757"/>
      <c r="DE14" s="757"/>
      <c r="DF14" s="757"/>
      <c r="DG14" s="757"/>
      <c r="DH14" s="757"/>
      <c r="DI14" s="757"/>
      <c r="DJ14" s="757"/>
      <c r="DK14" s="757"/>
      <c r="DL14" s="757"/>
      <c r="DM14" s="757"/>
      <c r="DN14" s="757"/>
      <c r="DO14" s="757"/>
      <c r="DP14" s="757"/>
      <c r="DQ14" s="757"/>
      <c r="DR14" s="757"/>
      <c r="DS14" s="753"/>
      <c r="DT14" s="776"/>
      <c r="DX14" s="753"/>
      <c r="DY14" s="778"/>
      <c r="DZ14" s="753"/>
      <c r="EC14" s="819"/>
    </row>
    <row r="15" spans="1:133" ht="12.75" customHeight="1">
      <c r="A15" s="854"/>
      <c r="B15" s="798" t="s">
        <v>857</v>
      </c>
      <c r="C15" s="262">
        <v>13</v>
      </c>
      <c r="D15" s="76" t="s">
        <v>54</v>
      </c>
      <c r="E15" s="798"/>
      <c r="F15" s="799"/>
      <c r="G15" s="773"/>
      <c r="H15" s="780"/>
      <c r="I15" s="850"/>
      <c r="J15" s="1081"/>
      <c r="K15" s="1087" t="s">
        <v>36</v>
      </c>
      <c r="L15" s="1072" t="s">
        <v>37</v>
      </c>
      <c r="M15" s="1073" t="s">
        <v>64</v>
      </c>
      <c r="N15" s="1073" t="s">
        <v>65</v>
      </c>
      <c r="O15" s="1073" t="s">
        <v>66</v>
      </c>
      <c r="P15" s="1073" t="s">
        <v>67</v>
      </c>
      <c r="Q15" s="1073" t="s">
        <v>68</v>
      </c>
      <c r="R15" s="1061" t="s">
        <v>56</v>
      </c>
      <c r="T15" s="1194" t="s">
        <v>858</v>
      </c>
      <c r="U15" s="1117" t="s">
        <v>859</v>
      </c>
      <c r="V15" s="1126">
        <v>2.5</v>
      </c>
      <c r="W15" s="1126">
        <v>2</v>
      </c>
      <c r="X15" s="1126">
        <v>2.5</v>
      </c>
      <c r="Y15" s="1126" t="s">
        <v>110</v>
      </c>
      <c r="Z15" s="1126" t="s">
        <v>110</v>
      </c>
      <c r="AA15" s="1126">
        <v>160</v>
      </c>
      <c r="AB15" s="1126">
        <v>160</v>
      </c>
      <c r="AC15" s="1193">
        <v>100</v>
      </c>
      <c r="AF15" s="1088"/>
      <c r="AG15" s="753"/>
      <c r="AH15" s="764"/>
      <c r="AI15" s="764"/>
      <c r="AJ15" s="765"/>
      <c r="AK15" s="765"/>
      <c r="AL15" s="765"/>
      <c r="AM15" s="765"/>
      <c r="AN15" s="753"/>
      <c r="AO15" s="1407" t="s">
        <v>860</v>
      </c>
      <c r="AP15" s="1408"/>
      <c r="AQ15" s="1408"/>
      <c r="AR15" s="1408"/>
      <c r="AS15" s="1409"/>
      <c r="AT15" s="669">
        <v>1.5</v>
      </c>
      <c r="AU15" s="669">
        <v>1</v>
      </c>
      <c r="AV15" s="669">
        <v>1.5</v>
      </c>
      <c r="AW15" s="670" t="s">
        <v>110</v>
      </c>
      <c r="AX15" s="670" t="s">
        <v>110</v>
      </c>
      <c r="AY15" s="670" t="s">
        <v>110</v>
      </c>
      <c r="AZ15" s="670" t="s">
        <v>110</v>
      </c>
      <c r="BA15" s="681" t="s">
        <v>110</v>
      </c>
      <c r="BB15" s="753"/>
      <c r="BC15" s="753"/>
      <c r="BD15" s="753"/>
      <c r="BE15" s="753"/>
      <c r="BF15" s="753"/>
      <c r="BG15" s="753"/>
      <c r="BH15" s="753"/>
      <c r="BI15" s="753"/>
      <c r="BJ15" s="753"/>
      <c r="BK15" s="753"/>
      <c r="BL15" s="753"/>
      <c r="BM15" s="753"/>
      <c r="BN15" s="753"/>
      <c r="BO15" s="753"/>
      <c r="BP15" s="753"/>
      <c r="BQ15" s="753"/>
      <c r="BR15" s="753"/>
      <c r="BS15" s="753"/>
      <c r="BT15" s="753"/>
      <c r="BU15" s="753"/>
      <c r="BV15" s="753"/>
      <c r="BW15" s="753"/>
      <c r="BX15" s="753"/>
      <c r="BY15" s="753"/>
      <c r="BZ15" s="753"/>
      <c r="CA15" s="753"/>
      <c r="CB15" s="753"/>
      <c r="CC15" s="753"/>
      <c r="CD15" s="753"/>
      <c r="CE15" s="753"/>
      <c r="CF15" s="753"/>
      <c r="CG15" s="753"/>
      <c r="CH15" s="753"/>
      <c r="CI15" s="753"/>
      <c r="CJ15" s="753"/>
      <c r="CK15" s="753"/>
      <c r="CL15" s="753"/>
      <c r="CM15" s="753"/>
      <c r="CN15" s="753"/>
      <c r="CO15" s="753"/>
      <c r="CP15" s="753"/>
      <c r="CQ15" s="753"/>
      <c r="CR15" s="753"/>
      <c r="CS15" s="753"/>
      <c r="CT15" s="753"/>
      <c r="CU15" s="753"/>
      <c r="CV15" s="753"/>
      <c r="CW15" s="753"/>
      <c r="CX15" s="753"/>
      <c r="CY15" s="753"/>
      <c r="CZ15" s="753"/>
      <c r="DA15" s="753"/>
      <c r="DB15" s="753"/>
      <c r="DC15" s="753"/>
      <c r="DD15" s="753"/>
      <c r="DE15" s="753"/>
      <c r="DF15" s="753"/>
      <c r="DG15" s="753"/>
      <c r="DH15" s="753"/>
      <c r="DI15" s="753"/>
      <c r="DJ15" s="753"/>
      <c r="DK15" s="753"/>
      <c r="DL15" s="753"/>
      <c r="DM15" s="753"/>
      <c r="DN15" s="753"/>
      <c r="DO15" s="753"/>
      <c r="DP15" s="753"/>
      <c r="DQ15" s="753"/>
      <c r="DR15" s="753"/>
      <c r="DS15" s="753"/>
      <c r="DT15" s="776"/>
      <c r="DX15" s="753"/>
      <c r="DY15" s="778"/>
      <c r="DZ15" s="753"/>
      <c r="EC15" s="819"/>
    </row>
    <row r="16" spans="1:133" ht="12.75" customHeight="1">
      <c r="A16" s="857"/>
      <c r="B16" s="798" t="s">
        <v>754</v>
      </c>
      <c r="C16" s="264">
        <v>1900</v>
      </c>
      <c r="D16" s="852" t="s">
        <v>1166</v>
      </c>
      <c r="E16" s="826"/>
      <c r="F16" s="826"/>
      <c r="G16" s="780"/>
      <c r="H16" s="780"/>
      <c r="I16" s="848"/>
      <c r="J16" s="1081"/>
      <c r="K16" s="1090" t="s">
        <v>829</v>
      </c>
      <c r="L16" s="1075" t="s">
        <v>29</v>
      </c>
      <c r="M16" s="1075">
        <v>0.8</v>
      </c>
      <c r="N16" s="1075">
        <v>0.8</v>
      </c>
      <c r="O16" s="1075">
        <v>0.8</v>
      </c>
      <c r="P16" s="1075">
        <v>0.8</v>
      </c>
      <c r="Q16" s="1075">
        <v>0.8</v>
      </c>
      <c r="R16" s="1083">
        <v>0.8</v>
      </c>
      <c r="T16" s="1195" t="s">
        <v>861</v>
      </c>
      <c r="U16" s="1117" t="s">
        <v>862</v>
      </c>
      <c r="V16" s="1126">
        <v>1.5</v>
      </c>
      <c r="W16" s="1126">
        <v>1</v>
      </c>
      <c r="X16" s="1126">
        <v>1.5</v>
      </c>
      <c r="Y16" s="1126" t="s">
        <v>110</v>
      </c>
      <c r="Z16" s="1126" t="s">
        <v>110</v>
      </c>
      <c r="AA16" s="1126" t="s">
        <v>110</v>
      </c>
      <c r="AB16" s="1126" t="s">
        <v>110</v>
      </c>
      <c r="AC16" s="1193" t="s">
        <v>110</v>
      </c>
      <c r="AF16" s="1088"/>
      <c r="AG16" s="753"/>
      <c r="AH16" s="764"/>
      <c r="AI16" s="764"/>
      <c r="AJ16" s="765"/>
      <c r="AK16" s="765"/>
      <c r="AL16" s="765"/>
      <c r="AM16" s="765"/>
      <c r="AN16" s="753"/>
      <c r="AO16" s="1407" t="s">
        <v>863</v>
      </c>
      <c r="AP16" s="1408"/>
      <c r="AQ16" s="1408"/>
      <c r="AR16" s="1408"/>
      <c r="AS16" s="1409"/>
      <c r="AT16" s="596">
        <v>5</v>
      </c>
      <c r="AU16" s="596">
        <v>3</v>
      </c>
      <c r="AV16" s="596">
        <v>4.5</v>
      </c>
      <c r="AW16" s="594" t="s">
        <v>110</v>
      </c>
      <c r="AX16" s="594" t="s">
        <v>110</v>
      </c>
      <c r="AY16" s="595" t="s">
        <v>112</v>
      </c>
      <c r="AZ16" s="595" t="s">
        <v>112</v>
      </c>
      <c r="BA16" s="685" t="s">
        <v>112</v>
      </c>
      <c r="BB16" s="753"/>
      <c r="BC16" s="753"/>
      <c r="BD16" s="753"/>
      <c r="BE16" s="753"/>
      <c r="BF16" s="753"/>
      <c r="BG16" s="753"/>
      <c r="BH16" s="753"/>
      <c r="BI16" s="753"/>
      <c r="BJ16" s="753"/>
      <c r="BK16" s="753"/>
      <c r="BL16" s="753"/>
      <c r="BM16" s="753"/>
      <c r="BN16" s="753"/>
      <c r="BO16" s="753"/>
      <c r="BP16" s="753"/>
      <c r="BQ16" s="753"/>
      <c r="BR16" s="753"/>
      <c r="BS16" s="753"/>
      <c r="BT16" s="753"/>
      <c r="BU16" s="753"/>
      <c r="BV16" s="753"/>
      <c r="BW16" s="753"/>
      <c r="BX16" s="753"/>
      <c r="BY16" s="753"/>
      <c r="BZ16" s="753"/>
      <c r="CA16" s="753"/>
      <c r="CB16" s="753"/>
      <c r="CC16" s="753"/>
      <c r="CD16" s="753"/>
      <c r="CE16" s="753"/>
      <c r="CF16" s="753"/>
      <c r="CG16" s="753"/>
      <c r="CH16" s="753"/>
      <c r="CI16" s="753"/>
      <c r="CJ16" s="753"/>
      <c r="CK16" s="753"/>
      <c r="CL16" s="753"/>
      <c r="CM16" s="753"/>
      <c r="CN16" s="753"/>
      <c r="CO16" s="753"/>
      <c r="CP16" s="753"/>
      <c r="CQ16" s="753"/>
      <c r="CR16" s="753"/>
      <c r="CS16" s="753"/>
      <c r="CT16" s="753"/>
      <c r="CU16" s="753"/>
      <c r="CV16" s="753"/>
      <c r="CW16" s="753"/>
      <c r="CX16" s="753"/>
      <c r="CY16" s="753"/>
      <c r="CZ16" s="753"/>
      <c r="DA16" s="753"/>
      <c r="DB16" s="753"/>
      <c r="DC16" s="753"/>
      <c r="DD16" s="753"/>
      <c r="DE16" s="753"/>
      <c r="DF16" s="753"/>
      <c r="DG16" s="753"/>
      <c r="DH16" s="753"/>
      <c r="DI16" s="753"/>
      <c r="DJ16" s="753"/>
      <c r="DK16" s="753"/>
      <c r="DL16" s="753"/>
      <c r="DM16" s="753"/>
      <c r="DN16" s="753"/>
      <c r="DO16" s="753"/>
      <c r="DP16" s="753"/>
      <c r="DQ16" s="753"/>
      <c r="DR16" s="753"/>
      <c r="DS16" s="753"/>
      <c r="DT16" s="776"/>
      <c r="DX16" s="753"/>
      <c r="DY16" s="778"/>
      <c r="DZ16" s="753"/>
      <c r="EC16" s="819"/>
    </row>
    <row r="17" spans="1:133" ht="12.75" customHeight="1">
      <c r="A17" s="857"/>
      <c r="B17" s="798" t="s">
        <v>375</v>
      </c>
      <c r="C17" s="1349">
        <v>0</v>
      </c>
      <c r="D17" s="852" t="s">
        <v>864</v>
      </c>
      <c r="E17" s="780"/>
      <c r="F17" s="780"/>
      <c r="G17" s="780"/>
      <c r="H17" s="780"/>
      <c r="I17" s="829"/>
      <c r="J17" s="1081"/>
      <c r="K17" s="1090" t="s">
        <v>832</v>
      </c>
      <c r="L17" s="1082" t="s">
        <v>31</v>
      </c>
      <c r="M17" s="1082">
        <v>1</v>
      </c>
      <c r="N17" s="1082">
        <v>1</v>
      </c>
      <c r="O17" s="1082">
        <v>1</v>
      </c>
      <c r="P17" s="1082">
        <v>1</v>
      </c>
      <c r="Q17" s="1082">
        <v>1</v>
      </c>
      <c r="R17" s="1083">
        <v>1</v>
      </c>
      <c r="T17" s="1195" t="s">
        <v>865</v>
      </c>
      <c r="U17" s="1117" t="s">
        <v>436</v>
      </c>
      <c r="V17" s="1196">
        <v>5</v>
      </c>
      <c r="W17" s="1196">
        <v>3</v>
      </c>
      <c r="X17" s="1196">
        <v>4.5</v>
      </c>
      <c r="Y17" s="1196" t="s">
        <v>110</v>
      </c>
      <c r="Z17" s="1196" t="s">
        <v>110</v>
      </c>
      <c r="AA17" s="1196" t="s">
        <v>112</v>
      </c>
      <c r="AB17" s="1196" t="s">
        <v>112</v>
      </c>
      <c r="AC17" s="1197" t="s">
        <v>112</v>
      </c>
      <c r="AD17" s="1080"/>
      <c r="AE17" s="1080"/>
      <c r="AF17" s="1088"/>
      <c r="AG17" s="753"/>
      <c r="AH17" s="754"/>
      <c r="AI17" s="755"/>
      <c r="AJ17" s="755"/>
      <c r="AK17" s="756"/>
      <c r="AL17" s="766"/>
      <c r="AM17" s="766"/>
      <c r="AN17" s="753"/>
      <c r="AO17" s="1407" t="s">
        <v>866</v>
      </c>
      <c r="AP17" s="1408"/>
      <c r="AQ17" s="1408"/>
      <c r="AR17" s="1408"/>
      <c r="AS17" s="1409"/>
      <c r="AT17" s="596">
        <v>3</v>
      </c>
      <c r="AU17" s="596">
        <v>2</v>
      </c>
      <c r="AV17" s="596">
        <v>2.5</v>
      </c>
      <c r="AW17" s="594" t="s">
        <v>110</v>
      </c>
      <c r="AX17" s="594" t="s">
        <v>110</v>
      </c>
      <c r="AY17" s="596">
        <v>50</v>
      </c>
      <c r="AZ17" s="596">
        <v>50</v>
      </c>
      <c r="BA17" s="687">
        <v>50</v>
      </c>
      <c r="BB17" s="753"/>
      <c r="BC17" s="753"/>
      <c r="BD17" s="753"/>
      <c r="BE17" s="753"/>
      <c r="BF17" s="753"/>
      <c r="BG17" s="753"/>
      <c r="BH17" s="753"/>
      <c r="BI17" s="753"/>
      <c r="BJ17" s="753"/>
      <c r="BK17" s="753"/>
      <c r="BL17" s="753"/>
      <c r="BM17" s="753"/>
      <c r="BN17" s="753"/>
      <c r="BO17" s="753"/>
      <c r="BP17" s="753"/>
      <c r="BQ17" s="753"/>
      <c r="BR17" s="753"/>
      <c r="BS17" s="753"/>
      <c r="BT17" s="753"/>
      <c r="BU17" s="753"/>
      <c r="BV17" s="753"/>
      <c r="BW17" s="753"/>
      <c r="BX17" s="753"/>
      <c r="BY17" s="753"/>
      <c r="BZ17" s="753"/>
      <c r="CA17" s="753"/>
      <c r="CB17" s="753"/>
      <c r="CC17" s="753"/>
      <c r="CD17" s="753"/>
      <c r="CE17" s="753"/>
      <c r="CF17" s="753"/>
      <c r="CG17" s="753"/>
      <c r="CH17" s="753"/>
      <c r="CI17" s="753"/>
      <c r="CJ17" s="753"/>
      <c r="CK17" s="753"/>
      <c r="CL17" s="753"/>
      <c r="CM17" s="753"/>
      <c r="CN17" s="753"/>
      <c r="CO17" s="753"/>
      <c r="CP17" s="753"/>
      <c r="CQ17" s="753"/>
      <c r="CR17" s="753"/>
      <c r="CS17" s="753"/>
      <c r="CT17" s="753"/>
      <c r="CU17" s="753"/>
      <c r="CV17" s="753"/>
      <c r="CW17" s="753"/>
      <c r="CX17" s="753"/>
      <c r="CY17" s="753"/>
      <c r="CZ17" s="753"/>
      <c r="DA17" s="753"/>
      <c r="DB17" s="753"/>
      <c r="DC17" s="753"/>
      <c r="DD17" s="753"/>
      <c r="DE17" s="753"/>
      <c r="DF17" s="753"/>
      <c r="DG17" s="753"/>
      <c r="DH17" s="753"/>
      <c r="DI17" s="753"/>
      <c r="DJ17" s="753"/>
      <c r="DK17" s="753"/>
      <c r="DL17" s="753"/>
      <c r="DM17" s="753"/>
      <c r="DN17" s="753"/>
      <c r="DO17" s="753"/>
      <c r="DP17" s="753"/>
      <c r="DQ17" s="753"/>
      <c r="DR17" s="753"/>
      <c r="DS17" s="753"/>
      <c r="DT17" s="776"/>
      <c r="DX17" s="753"/>
      <c r="DY17" s="778"/>
      <c r="DZ17" s="753"/>
      <c r="EC17" s="819"/>
    </row>
    <row r="18" spans="1:133" ht="12.75" customHeight="1">
      <c r="A18" s="857"/>
      <c r="B18" s="784" t="s">
        <v>867</v>
      </c>
      <c r="C18" s="292" t="s">
        <v>981</v>
      </c>
      <c r="D18" s="1373" t="str">
        <f>VLOOKUP($C$18,$T$7:$AC$76,2,FALSE)&amp;" (ASCE 7-10 Table "&amp;IF(VALUE(LEFT($C$18,2))&lt;=3,"15.4-1)","15.4-2)")</f>
        <v>Signs and billboards (ASCE 7-10 Table 15.4-2)</v>
      </c>
      <c r="E18" s="1427"/>
      <c r="F18" s="1427"/>
      <c r="G18" s="1427"/>
      <c r="H18" s="1427"/>
      <c r="I18" s="1428"/>
      <c r="J18" s="1081"/>
      <c r="K18" s="1090" t="s">
        <v>837</v>
      </c>
      <c r="L18" s="1082" t="s">
        <v>33</v>
      </c>
      <c r="M18" s="1082">
        <v>1.7</v>
      </c>
      <c r="N18" s="1082">
        <v>1.6</v>
      </c>
      <c r="O18" s="1082">
        <v>1.5</v>
      </c>
      <c r="P18" s="1082">
        <v>1.4</v>
      </c>
      <c r="Q18" s="1082">
        <v>1.3</v>
      </c>
      <c r="R18" s="1087">
        <f>IF($C$13&lt;=0.1,1.7,IF(AND($C$13&gt;0.1,$C$13&lt;=0.2),(1.6-1.7)*($C$13-0.1)/(0.2-0.1)+1.7,IF(AND($C$13&gt;0.2,$C$13&lt;=0.3),(1.5-1.6)*($C$13-0.2)/(0.3-0.2)+1.6,IF(AND($C$13&gt;0.3,$C$13&lt;=0.4),(1.4-1.5)*($C$13-0.3)/(0.4-0.3)+1.5,IF(AND($C$13&gt;0.4,$C$13&lt;=0.5),(1.3-1.4)*($C$13-0.4)/(0.5-0.4)+1.4,1.3)))))</f>
        <v>1.3</v>
      </c>
      <c r="T18" s="1195" t="s">
        <v>869</v>
      </c>
      <c r="U18" s="1117" t="s">
        <v>870</v>
      </c>
      <c r="V18" s="1196">
        <v>3</v>
      </c>
      <c r="W18" s="1196">
        <v>2</v>
      </c>
      <c r="X18" s="1196">
        <v>2.5</v>
      </c>
      <c r="Y18" s="1196" t="s">
        <v>110</v>
      </c>
      <c r="Z18" s="1196" t="s">
        <v>110</v>
      </c>
      <c r="AA18" s="1196">
        <v>50</v>
      </c>
      <c r="AB18" s="1196">
        <v>50</v>
      </c>
      <c r="AC18" s="1197">
        <v>50</v>
      </c>
      <c r="AD18" s="1088"/>
      <c r="AE18" s="1088"/>
      <c r="AF18" s="1088"/>
      <c r="AG18" s="753"/>
      <c r="AH18" s="1421"/>
      <c r="AI18" s="1422"/>
      <c r="AJ18" s="1422"/>
      <c r="AK18" s="1422"/>
      <c r="AL18" s="1422"/>
      <c r="AM18" s="1422"/>
      <c r="AN18" s="753"/>
      <c r="AO18" s="1407" t="s">
        <v>871</v>
      </c>
      <c r="AP18" s="1408"/>
      <c r="AQ18" s="1408"/>
      <c r="AR18" s="1408"/>
      <c r="AS18" s="1409"/>
      <c r="AT18" s="596">
        <v>0.8</v>
      </c>
      <c r="AU18" s="596">
        <v>1</v>
      </c>
      <c r="AV18" s="596">
        <v>1</v>
      </c>
      <c r="AW18" s="594" t="s">
        <v>110</v>
      </c>
      <c r="AX18" s="594" t="s">
        <v>110</v>
      </c>
      <c r="AY18" s="594" t="s">
        <v>110</v>
      </c>
      <c r="AZ18" s="594" t="s">
        <v>110</v>
      </c>
      <c r="BA18" s="611" t="s">
        <v>110</v>
      </c>
      <c r="BB18" s="753"/>
      <c r="BC18" s="753"/>
      <c r="BD18" s="753"/>
      <c r="BE18" s="753"/>
      <c r="BF18" s="753"/>
      <c r="BG18" s="753"/>
      <c r="BH18" s="753"/>
      <c r="BI18" s="753"/>
      <c r="BJ18" s="753"/>
      <c r="BK18" s="753"/>
      <c r="BL18" s="753"/>
      <c r="BM18" s="753"/>
      <c r="BN18" s="753"/>
      <c r="BO18" s="753"/>
      <c r="BP18" s="753"/>
      <c r="BQ18" s="753"/>
      <c r="BR18" s="753"/>
      <c r="BS18" s="753"/>
      <c r="BT18" s="753"/>
      <c r="BU18" s="753"/>
      <c r="BV18" s="753"/>
      <c r="BW18" s="753"/>
      <c r="BX18" s="753"/>
      <c r="BY18" s="753"/>
      <c r="BZ18" s="753"/>
      <c r="CA18" s="753"/>
      <c r="CB18" s="753"/>
      <c r="CC18" s="753"/>
      <c r="CD18" s="753"/>
      <c r="CE18" s="753"/>
      <c r="CF18" s="753"/>
      <c r="CG18" s="753"/>
      <c r="CH18" s="753"/>
      <c r="CI18" s="753"/>
      <c r="CJ18" s="753"/>
      <c r="CK18" s="753"/>
      <c r="CL18" s="753"/>
      <c r="CM18" s="753"/>
      <c r="CN18" s="753"/>
      <c r="CO18" s="753"/>
      <c r="CP18" s="753"/>
      <c r="CQ18" s="753"/>
      <c r="CR18" s="753"/>
      <c r="CS18" s="753"/>
      <c r="CT18" s="753"/>
      <c r="CU18" s="753"/>
      <c r="CV18" s="753"/>
      <c r="CW18" s="753"/>
      <c r="CX18" s="753"/>
      <c r="CY18" s="753"/>
      <c r="CZ18" s="753"/>
      <c r="DA18" s="753"/>
      <c r="DB18" s="753"/>
      <c r="DC18" s="753"/>
      <c r="DD18" s="753"/>
      <c r="DE18" s="753"/>
      <c r="DF18" s="753"/>
      <c r="DG18" s="753"/>
      <c r="DH18" s="753"/>
      <c r="DI18" s="753"/>
      <c r="DJ18" s="753"/>
      <c r="DK18" s="753"/>
      <c r="DL18" s="753"/>
      <c r="DM18" s="753"/>
      <c r="DN18" s="753"/>
      <c r="DO18" s="753"/>
      <c r="DP18" s="753"/>
      <c r="DQ18" s="753"/>
      <c r="DR18" s="753"/>
      <c r="DS18" s="753"/>
      <c r="DT18" s="767"/>
      <c r="DU18" s="753"/>
      <c r="DV18" s="753"/>
      <c r="DW18" s="753"/>
      <c r="DX18" s="753"/>
      <c r="DY18" s="778"/>
      <c r="DZ18" s="753"/>
      <c r="EC18" s="819"/>
    </row>
    <row r="19" spans="1:133" ht="12.75" customHeight="1">
      <c r="A19" s="857"/>
      <c r="B19" s="780"/>
      <c r="C19" s="89"/>
      <c r="D19" s="1427"/>
      <c r="E19" s="1427"/>
      <c r="F19" s="1427"/>
      <c r="G19" s="1427"/>
      <c r="H19" s="1427"/>
      <c r="I19" s="1428"/>
      <c r="J19" s="1081"/>
      <c r="K19" s="1090" t="s">
        <v>840</v>
      </c>
      <c r="L19" s="1082" t="s">
        <v>32</v>
      </c>
      <c r="M19" s="1082">
        <v>2.4</v>
      </c>
      <c r="N19" s="1082">
        <v>2</v>
      </c>
      <c r="O19" s="1082">
        <v>1.8</v>
      </c>
      <c r="P19" s="1082">
        <v>1.6</v>
      </c>
      <c r="Q19" s="1082">
        <v>1.5</v>
      </c>
      <c r="R19" s="1087">
        <f>IF($C$13&lt;=0.1,2.4,IF(AND($C$13&gt;0.1,$C$13&lt;=0.2),(2-2.4)*($C$13-0.1)/(0.2-0.1)+2.4,IF(AND($C$13&gt;0.2,$C$13&lt;=0.3),(1.8-2)*($C$13-0.2)/(0.3-0.2)+2,IF(AND($C$13&gt;0.3,$C$13&lt;=0.4),(1.6-1.8)*($C$13-0.3)/(0.4-0.3)+1.8,IF(AND($C$13&gt;0.4,$C$13&lt;=0.5),(1.5-1.6)*($C$13-0.4)/(0.5-0.4)+1.6,1.5)))))</f>
        <v>1.5</v>
      </c>
      <c r="T19" s="1198" t="s">
        <v>872</v>
      </c>
      <c r="U19" s="1117" t="s">
        <v>873</v>
      </c>
      <c r="V19" s="1196">
        <v>0.8</v>
      </c>
      <c r="W19" s="1196">
        <v>1</v>
      </c>
      <c r="X19" s="1196">
        <v>1</v>
      </c>
      <c r="Y19" s="1196" t="s">
        <v>110</v>
      </c>
      <c r="Z19" s="1196" t="s">
        <v>110</v>
      </c>
      <c r="AA19" s="1196" t="s">
        <v>110</v>
      </c>
      <c r="AB19" s="1196" t="s">
        <v>110</v>
      </c>
      <c r="AC19" s="1197" t="s">
        <v>110</v>
      </c>
      <c r="AD19" s="1088"/>
      <c r="AE19" s="1088"/>
      <c r="AF19" s="1088"/>
      <c r="AG19" s="757"/>
      <c r="AH19" s="767"/>
      <c r="AI19" s="768"/>
      <c r="AJ19" s="753"/>
      <c r="AK19" s="753"/>
      <c r="AL19" s="753"/>
      <c r="AM19" s="758"/>
      <c r="AN19" s="757"/>
      <c r="AO19" s="1407" t="s">
        <v>874</v>
      </c>
      <c r="AP19" s="1408"/>
      <c r="AQ19" s="1408"/>
      <c r="AR19" s="1408"/>
      <c r="AS19" s="1409"/>
      <c r="AT19" s="689">
        <v>3.5</v>
      </c>
      <c r="AU19" s="689">
        <v>3</v>
      </c>
      <c r="AV19" s="689">
        <v>3</v>
      </c>
      <c r="AW19" s="690" t="s">
        <v>110</v>
      </c>
      <c r="AX19" s="690" t="s">
        <v>110</v>
      </c>
      <c r="AY19" s="671" t="s">
        <v>852</v>
      </c>
      <c r="AZ19" s="671" t="s">
        <v>852</v>
      </c>
      <c r="BA19" s="671" t="s">
        <v>852</v>
      </c>
      <c r="BB19" s="757"/>
      <c r="BC19" s="757"/>
      <c r="BD19" s="757"/>
      <c r="BE19" s="757"/>
      <c r="BF19" s="757"/>
      <c r="BG19" s="757"/>
      <c r="BH19" s="757"/>
      <c r="BI19" s="757"/>
      <c r="BJ19" s="757"/>
      <c r="BK19" s="757"/>
      <c r="BL19" s="757"/>
      <c r="BM19" s="757"/>
      <c r="BN19" s="757"/>
      <c r="BO19" s="757"/>
      <c r="BP19" s="757"/>
      <c r="BQ19" s="757"/>
      <c r="BR19" s="757"/>
      <c r="BS19" s="757"/>
      <c r="BT19" s="757"/>
      <c r="BU19" s="753"/>
      <c r="BV19" s="757"/>
      <c r="BW19" s="757"/>
      <c r="BX19" s="757"/>
      <c r="BY19" s="757"/>
      <c r="BZ19" s="757"/>
      <c r="CA19" s="757"/>
      <c r="CB19" s="757"/>
      <c r="CC19" s="757"/>
      <c r="CD19" s="757"/>
      <c r="CE19" s="757"/>
      <c r="CF19" s="757"/>
      <c r="CG19" s="757"/>
      <c r="CH19" s="757"/>
      <c r="CI19" s="757"/>
      <c r="CJ19" s="757"/>
      <c r="CK19" s="757"/>
      <c r="CL19" s="757"/>
      <c r="CM19" s="757"/>
      <c r="CN19" s="757"/>
      <c r="CO19" s="757"/>
      <c r="CP19" s="757"/>
      <c r="CQ19" s="757"/>
      <c r="CR19" s="757"/>
      <c r="CS19" s="757"/>
      <c r="CT19" s="757"/>
      <c r="CU19" s="757"/>
      <c r="CV19" s="757"/>
      <c r="CW19" s="757"/>
      <c r="CX19" s="757"/>
      <c r="CY19" s="757"/>
      <c r="CZ19" s="757"/>
      <c r="DA19" s="757"/>
      <c r="DB19" s="757"/>
      <c r="DC19" s="757"/>
      <c r="DD19" s="757"/>
      <c r="DE19" s="757"/>
      <c r="DF19" s="757"/>
      <c r="DG19" s="757"/>
      <c r="DH19" s="757"/>
      <c r="DI19" s="757"/>
      <c r="DJ19" s="757"/>
      <c r="DK19" s="757"/>
      <c r="DL19" s="757"/>
      <c r="DM19" s="757"/>
      <c r="DN19" s="757"/>
      <c r="DO19" s="757"/>
      <c r="DP19" s="757"/>
      <c r="DQ19" s="757"/>
      <c r="DR19" s="757"/>
      <c r="DS19" s="757"/>
      <c r="DT19" s="767"/>
      <c r="DU19" s="753"/>
      <c r="DV19" s="753"/>
      <c r="DW19" s="753"/>
      <c r="DX19" s="753"/>
      <c r="DY19" s="778"/>
      <c r="DZ19" s="753"/>
      <c r="EC19" s="819"/>
    </row>
    <row r="20" spans="1:133" ht="12.75" customHeight="1">
      <c r="A20" s="854" t="s">
        <v>74</v>
      </c>
      <c r="B20" s="780"/>
      <c r="C20" s="89"/>
      <c r="D20" s="1427"/>
      <c r="E20" s="1427"/>
      <c r="F20" s="1427"/>
      <c r="G20" s="1427"/>
      <c r="H20" s="1427"/>
      <c r="I20" s="1428"/>
      <c r="J20" s="1081"/>
      <c r="K20" s="1090" t="s">
        <v>843</v>
      </c>
      <c r="L20" s="1082" t="s">
        <v>35</v>
      </c>
      <c r="M20" s="1082">
        <v>3.5</v>
      </c>
      <c r="N20" s="1082">
        <v>3.2</v>
      </c>
      <c r="O20" s="1082">
        <v>2.8</v>
      </c>
      <c r="P20" s="1082">
        <v>2.4</v>
      </c>
      <c r="Q20" s="1082">
        <v>2.4</v>
      </c>
      <c r="R20" s="1087">
        <f>IF($C$13&lt;=0.1,3.5,IF(AND($C$13&gt;0.1,$C$13&lt;=0.2),(3.2-3.5)*($C$13-0.1)/(0.2-0.1)+3.5,IF(AND($C$13&gt;0.2,$C$13&lt;=0.3),(2.8-3.2)*($C$13-0.2)/(0.3-0.2)+3.2,IF(AND($C$13&gt;0.3,$C$13&lt;=0.4),(2.4-2.8)*($C$13-0.3)/(0.4-0.3)+2.8,IF(AND($C$13&gt;0.4,$C$13&lt;=0.5),2.4,2.4)))))</f>
        <v>2.4</v>
      </c>
      <c r="T20" s="1091" t="s">
        <v>875</v>
      </c>
      <c r="U20" s="1092" t="s">
        <v>876</v>
      </c>
      <c r="V20" s="1199">
        <v>3.5</v>
      </c>
      <c r="W20" s="1199">
        <v>3</v>
      </c>
      <c r="X20" s="1199">
        <v>3</v>
      </c>
      <c r="Y20" s="1199" t="s">
        <v>110</v>
      </c>
      <c r="Z20" s="1199" t="s">
        <v>110</v>
      </c>
      <c r="AA20" s="1199" t="s">
        <v>112</v>
      </c>
      <c r="AB20" s="1199" t="s">
        <v>112</v>
      </c>
      <c r="AC20" s="1199" t="s">
        <v>112</v>
      </c>
      <c r="AD20" s="1088"/>
      <c r="AE20" s="1088"/>
      <c r="AF20" s="1088"/>
      <c r="AG20" s="757"/>
      <c r="AH20" s="914"/>
      <c r="AI20" s="768"/>
      <c r="AJ20" s="753"/>
      <c r="AK20" s="753"/>
      <c r="AL20" s="753"/>
      <c r="AM20" s="758"/>
      <c r="AN20" s="757"/>
      <c r="AO20" s="1407" t="s">
        <v>877</v>
      </c>
      <c r="AP20" s="1408"/>
      <c r="AQ20" s="1408"/>
      <c r="AR20" s="1408"/>
      <c r="AS20" s="1409"/>
      <c r="AT20" s="657">
        <v>2.5</v>
      </c>
      <c r="AU20" s="657">
        <v>2</v>
      </c>
      <c r="AV20" s="657">
        <v>2.5</v>
      </c>
      <c r="AW20" s="658" t="s">
        <v>110</v>
      </c>
      <c r="AX20" s="658" t="s">
        <v>110</v>
      </c>
      <c r="AY20" s="657">
        <v>100</v>
      </c>
      <c r="AZ20" s="657">
        <v>100</v>
      </c>
      <c r="BA20" s="671" t="s">
        <v>852</v>
      </c>
      <c r="BB20" s="757"/>
      <c r="BC20" s="757"/>
      <c r="BD20" s="757"/>
      <c r="BE20" s="757"/>
      <c r="BF20" s="757"/>
      <c r="BG20" s="757"/>
      <c r="BH20" s="757"/>
      <c r="BI20" s="757"/>
      <c r="BJ20" s="757"/>
      <c r="BK20" s="757"/>
      <c r="BL20" s="757"/>
      <c r="BM20" s="757"/>
      <c r="BN20" s="757"/>
      <c r="BO20" s="757"/>
      <c r="BP20" s="757"/>
      <c r="BQ20" s="757"/>
      <c r="BR20" s="757"/>
      <c r="BS20" s="757"/>
      <c r="BT20" s="757"/>
      <c r="BU20" s="753"/>
      <c r="BV20" s="757"/>
      <c r="BW20" s="757"/>
      <c r="BX20" s="757"/>
      <c r="BY20" s="757"/>
      <c r="BZ20" s="757"/>
      <c r="CA20" s="757"/>
      <c r="CB20" s="757"/>
      <c r="CC20" s="757"/>
      <c r="CD20" s="757"/>
      <c r="CE20" s="757"/>
      <c r="CF20" s="757"/>
      <c r="CG20" s="757"/>
      <c r="CH20" s="757"/>
      <c r="CI20" s="757"/>
      <c r="CJ20" s="757"/>
      <c r="CK20" s="757"/>
      <c r="CL20" s="757"/>
      <c r="CM20" s="757"/>
      <c r="CN20" s="757"/>
      <c r="CO20" s="757"/>
      <c r="CP20" s="757"/>
      <c r="CQ20" s="757"/>
      <c r="CR20" s="757"/>
      <c r="CS20" s="757"/>
      <c r="CT20" s="757"/>
      <c r="CU20" s="757"/>
      <c r="CV20" s="757"/>
      <c r="CW20" s="757"/>
      <c r="CX20" s="757"/>
      <c r="CY20" s="757"/>
      <c r="CZ20" s="757"/>
      <c r="DA20" s="757"/>
      <c r="DB20" s="757"/>
      <c r="DC20" s="757"/>
      <c r="DD20" s="757"/>
      <c r="DE20" s="757"/>
      <c r="DF20" s="757"/>
      <c r="DG20" s="757"/>
      <c r="DH20" s="757"/>
      <c r="DI20" s="757"/>
      <c r="DJ20" s="757"/>
      <c r="DK20" s="757"/>
      <c r="DL20" s="757"/>
      <c r="DM20" s="757"/>
      <c r="DN20" s="757"/>
      <c r="DO20" s="757"/>
      <c r="DP20" s="757"/>
      <c r="DQ20" s="757"/>
      <c r="DR20" s="757"/>
      <c r="DS20" s="757"/>
      <c r="DT20" s="767"/>
      <c r="DU20" s="753"/>
      <c r="DV20" s="753"/>
      <c r="DW20" s="753"/>
      <c r="DX20" s="753"/>
      <c r="DY20" s="808"/>
      <c r="DZ20" s="775"/>
    </row>
    <row r="21" spans="1:133" ht="12.75" customHeight="1">
      <c r="A21" s="857"/>
      <c r="B21" s="780"/>
      <c r="C21" s="239" t="s">
        <v>707</v>
      </c>
      <c r="D21" s="826"/>
      <c r="E21" s="826"/>
      <c r="F21" s="826"/>
      <c r="G21" s="827"/>
      <c r="H21" s="828"/>
      <c r="I21" s="829"/>
      <c r="J21" s="1081"/>
      <c r="K21" s="1090" t="s">
        <v>846</v>
      </c>
      <c r="L21" s="1089" t="s">
        <v>36</v>
      </c>
      <c r="M21" s="1089" t="s">
        <v>38</v>
      </c>
      <c r="N21" s="1089" t="s">
        <v>38</v>
      </c>
      <c r="O21" s="1089" t="s">
        <v>38</v>
      </c>
      <c r="P21" s="1089" t="s">
        <v>38</v>
      </c>
      <c r="Q21" s="1089" t="s">
        <v>38</v>
      </c>
      <c r="R21" s="1090" t="s">
        <v>38</v>
      </c>
      <c r="T21" s="1200" t="s">
        <v>878</v>
      </c>
      <c r="U21" s="1092" t="s">
        <v>879</v>
      </c>
      <c r="V21" s="1201">
        <v>2.5</v>
      </c>
      <c r="W21" s="1201">
        <v>2</v>
      </c>
      <c r="X21" s="1201">
        <v>2.5</v>
      </c>
      <c r="Y21" s="1201" t="s">
        <v>110</v>
      </c>
      <c r="Z21" s="1201" t="s">
        <v>110</v>
      </c>
      <c r="AA21" s="1201">
        <v>100</v>
      </c>
      <c r="AB21" s="1201">
        <v>100</v>
      </c>
      <c r="AC21" s="1201" t="s">
        <v>112</v>
      </c>
      <c r="AD21" s="1088"/>
      <c r="AE21" s="1088"/>
      <c r="AF21" s="1088"/>
      <c r="AG21" s="757"/>
      <c r="AH21" s="753"/>
      <c r="AI21" s="753"/>
      <c r="AJ21" s="753"/>
      <c r="AK21" s="753"/>
      <c r="AL21" s="753"/>
      <c r="AM21" s="758"/>
      <c r="AN21" s="757"/>
      <c r="AO21" s="1407" t="s">
        <v>880</v>
      </c>
      <c r="AP21" s="1408"/>
      <c r="AQ21" s="1408"/>
      <c r="AR21" s="1408"/>
      <c r="AS21" s="1409"/>
      <c r="AT21" s="694">
        <v>1</v>
      </c>
      <c r="AU21" s="694">
        <v>1</v>
      </c>
      <c r="AV21" s="694">
        <v>1</v>
      </c>
      <c r="AW21" s="695" t="s">
        <v>110</v>
      </c>
      <c r="AX21" s="695" t="s">
        <v>110</v>
      </c>
      <c r="AY21" s="695" t="s">
        <v>110</v>
      </c>
      <c r="AZ21" s="695" t="s">
        <v>110</v>
      </c>
      <c r="BA21" s="695" t="s">
        <v>110</v>
      </c>
      <c r="BB21" s="757"/>
      <c r="BC21" s="757"/>
      <c r="BD21" s="757"/>
      <c r="BE21" s="757"/>
      <c r="BF21" s="757"/>
      <c r="BG21" s="757"/>
      <c r="BH21" s="757"/>
      <c r="BI21" s="757"/>
      <c r="BJ21" s="757"/>
      <c r="BK21" s="757"/>
      <c r="BL21" s="757"/>
      <c r="BM21" s="757"/>
      <c r="BN21" s="757"/>
      <c r="BO21" s="757"/>
      <c r="BP21" s="757"/>
      <c r="BQ21" s="757"/>
      <c r="BR21" s="757"/>
      <c r="BS21" s="757"/>
      <c r="BT21" s="757"/>
      <c r="BU21" s="753"/>
      <c r="BV21" s="757"/>
      <c r="BW21" s="757"/>
      <c r="BX21" s="757"/>
      <c r="BY21" s="757"/>
      <c r="BZ21" s="757"/>
      <c r="CA21" s="757"/>
      <c r="CB21" s="757"/>
      <c r="CC21" s="757"/>
      <c r="CD21" s="757"/>
      <c r="CE21" s="757"/>
      <c r="CF21" s="757"/>
      <c r="CG21" s="757"/>
      <c r="CH21" s="757"/>
      <c r="CI21" s="757"/>
      <c r="CJ21" s="757"/>
      <c r="CK21" s="757"/>
      <c r="CL21" s="757"/>
      <c r="CM21" s="757"/>
      <c r="CN21" s="757"/>
      <c r="CO21" s="757"/>
      <c r="CP21" s="757"/>
      <c r="CQ21" s="757"/>
      <c r="CR21" s="757"/>
      <c r="CS21" s="757"/>
      <c r="CT21" s="757"/>
      <c r="CU21" s="757"/>
      <c r="CV21" s="757"/>
      <c r="CW21" s="757"/>
      <c r="CX21" s="757"/>
      <c r="CY21" s="757"/>
      <c r="CZ21" s="757"/>
      <c r="DA21" s="757"/>
      <c r="DB21" s="757"/>
      <c r="DC21" s="757"/>
      <c r="DD21" s="757"/>
      <c r="DE21" s="757"/>
      <c r="DF21" s="757"/>
      <c r="DG21" s="757"/>
      <c r="DH21" s="757"/>
      <c r="DI21" s="757"/>
      <c r="DJ21" s="757"/>
      <c r="DK21" s="757"/>
      <c r="DL21" s="757"/>
      <c r="DM21" s="757"/>
      <c r="DN21" s="757"/>
      <c r="DO21" s="757"/>
      <c r="DP21" s="757"/>
      <c r="DQ21" s="757"/>
      <c r="DR21" s="757"/>
      <c r="DS21" s="757"/>
      <c r="DT21" s="767"/>
      <c r="DU21" s="753"/>
      <c r="DV21" s="753"/>
      <c r="DW21" s="753"/>
      <c r="DX21" s="753"/>
      <c r="DY21" s="808"/>
      <c r="DZ21" s="775"/>
    </row>
    <row r="22" spans="1:133" ht="12.75" customHeight="1">
      <c r="A22" s="854" t="s">
        <v>81</v>
      </c>
      <c r="B22" s="780"/>
      <c r="C22" s="735"/>
      <c r="D22" s="801" t="s">
        <v>707</v>
      </c>
      <c r="E22" s="830"/>
      <c r="F22" s="831"/>
      <c r="G22" s="780"/>
      <c r="H22" s="780"/>
      <c r="I22" s="829"/>
      <c r="J22" s="1081"/>
      <c r="K22" s="1090" t="s">
        <v>849</v>
      </c>
      <c r="N22" s="1090"/>
      <c r="O22" s="1039"/>
      <c r="T22" s="1195" t="s">
        <v>881</v>
      </c>
      <c r="U22" s="1092" t="s">
        <v>882</v>
      </c>
      <c r="V22" s="1202">
        <v>1</v>
      </c>
      <c r="W22" s="1202">
        <v>1</v>
      </c>
      <c r="X22" s="1202">
        <v>1</v>
      </c>
      <c r="Y22" s="1202" t="s">
        <v>110</v>
      </c>
      <c r="Z22" s="1202" t="s">
        <v>110</v>
      </c>
      <c r="AA22" s="1202" t="s">
        <v>110</v>
      </c>
      <c r="AB22" s="1202" t="s">
        <v>110</v>
      </c>
      <c r="AC22" s="1202" t="s">
        <v>110</v>
      </c>
      <c r="AF22" s="1088"/>
      <c r="AG22" s="757"/>
      <c r="AH22" s="767"/>
      <c r="AI22" s="769"/>
      <c r="AJ22" s="753"/>
      <c r="AK22" s="753"/>
      <c r="AL22" s="753"/>
      <c r="AM22" s="758"/>
      <c r="AN22" s="757"/>
      <c r="AO22" s="1407" t="s">
        <v>883</v>
      </c>
      <c r="AP22" s="1408"/>
      <c r="AQ22" s="1408"/>
      <c r="AR22" s="1408"/>
      <c r="AS22" s="1409"/>
      <c r="AT22" s="657">
        <v>3</v>
      </c>
      <c r="AU22" s="657">
        <v>3</v>
      </c>
      <c r="AV22" s="657">
        <v>2.5</v>
      </c>
      <c r="AW22" s="658" t="s">
        <v>110</v>
      </c>
      <c r="AX22" s="693" t="s">
        <v>112</v>
      </c>
      <c r="AY22" s="693" t="s">
        <v>112</v>
      </c>
      <c r="AZ22" s="693" t="s">
        <v>112</v>
      </c>
      <c r="BA22" s="693" t="s">
        <v>112</v>
      </c>
      <c r="BB22" s="757"/>
      <c r="BC22" s="757"/>
      <c r="BD22" s="757"/>
      <c r="BE22" s="757"/>
      <c r="BF22" s="757"/>
      <c r="BG22" s="757"/>
      <c r="BH22" s="757"/>
      <c r="BI22" s="757"/>
      <c r="BJ22" s="757"/>
      <c r="BK22" s="757"/>
      <c r="BL22" s="757"/>
      <c r="BM22" s="757"/>
      <c r="BN22" s="757"/>
      <c r="BO22" s="757"/>
      <c r="BP22" s="757"/>
      <c r="BQ22" s="757"/>
      <c r="BR22" s="757"/>
      <c r="BS22" s="757"/>
      <c r="BT22" s="757"/>
      <c r="BU22" s="753"/>
      <c r="BV22" s="757"/>
      <c r="BW22" s="757"/>
      <c r="BX22" s="757"/>
      <c r="BY22" s="757"/>
      <c r="BZ22" s="757"/>
      <c r="CA22" s="757"/>
      <c r="CB22" s="757"/>
      <c r="CC22" s="757"/>
      <c r="CD22" s="757"/>
      <c r="CE22" s="757"/>
      <c r="CF22" s="757"/>
      <c r="CG22" s="757"/>
      <c r="CH22" s="757"/>
      <c r="CI22" s="757"/>
      <c r="CJ22" s="757"/>
      <c r="CK22" s="757"/>
      <c r="CL22" s="757"/>
      <c r="CM22" s="757"/>
      <c r="CN22" s="757"/>
      <c r="CO22" s="757"/>
      <c r="CP22" s="757"/>
      <c r="CQ22" s="757"/>
      <c r="CR22" s="757"/>
      <c r="CS22" s="757"/>
      <c r="CT22" s="757"/>
      <c r="CU22" s="757"/>
      <c r="CV22" s="757"/>
      <c r="CW22" s="757"/>
      <c r="CX22" s="757"/>
      <c r="CY22" s="757"/>
      <c r="CZ22" s="757"/>
      <c r="DA22" s="757"/>
      <c r="DB22" s="757"/>
      <c r="DC22" s="757"/>
      <c r="DD22" s="757"/>
      <c r="DE22" s="757"/>
      <c r="DF22" s="757"/>
      <c r="DG22" s="757"/>
      <c r="DH22" s="757"/>
      <c r="DI22" s="757"/>
      <c r="DJ22" s="757"/>
      <c r="DK22" s="757"/>
      <c r="DL22" s="757"/>
      <c r="DM22" s="757"/>
      <c r="DN22" s="757"/>
      <c r="DO22" s="757"/>
      <c r="DP22" s="757"/>
      <c r="DQ22" s="757"/>
      <c r="DR22" s="757"/>
      <c r="DS22" s="757"/>
      <c r="DT22" s="767"/>
      <c r="DU22" s="753"/>
      <c r="DV22" s="753"/>
      <c r="DW22" s="753"/>
      <c r="DX22" s="753"/>
      <c r="DY22" s="778"/>
      <c r="DZ22" s="770"/>
      <c r="EC22" s="819"/>
    </row>
    <row r="23" spans="1:133" ht="12.75" customHeight="1">
      <c r="A23" s="857"/>
      <c r="B23" s="798" t="s">
        <v>710</v>
      </c>
      <c r="C23" s="96">
        <f>IF($C$10="A",$R$6,IF($C$10="B",$R$7,IF($C$10="C",$R$8,IF($C$10="D",$R$9,IF($C$10="E",$R$10,IF($C$10="F",$R$11))))))</f>
        <v>1</v>
      </c>
      <c r="D23" s="55" t="s">
        <v>454</v>
      </c>
      <c r="E23" s="809"/>
      <c r="F23" s="832"/>
      <c r="G23" s="780"/>
      <c r="H23" s="780"/>
      <c r="I23" s="829"/>
      <c r="J23" s="1081"/>
      <c r="K23" s="1090" t="s">
        <v>854</v>
      </c>
      <c r="L23" s="1081" t="s">
        <v>405</v>
      </c>
      <c r="M23" s="1121" t="str">
        <f>$C$8</f>
        <v>II</v>
      </c>
      <c r="N23" s="189" t="s">
        <v>406</v>
      </c>
      <c r="T23" s="1203" t="s">
        <v>884</v>
      </c>
      <c r="U23" s="1092" t="s">
        <v>437</v>
      </c>
      <c r="V23" s="1201">
        <v>3</v>
      </c>
      <c r="W23" s="1201">
        <v>3</v>
      </c>
      <c r="X23" s="1201">
        <v>2.5</v>
      </c>
      <c r="Y23" s="1201" t="s">
        <v>110</v>
      </c>
      <c r="Z23" s="1201" t="s">
        <v>112</v>
      </c>
      <c r="AA23" s="1201" t="s">
        <v>112</v>
      </c>
      <c r="AB23" s="1201" t="s">
        <v>112</v>
      </c>
      <c r="AC23" s="1201" t="s">
        <v>112</v>
      </c>
      <c r="AD23" s="1088"/>
      <c r="AE23" s="1088"/>
      <c r="AF23" s="1110"/>
      <c r="AG23" s="757"/>
      <c r="AH23" s="758"/>
      <c r="AI23" s="758"/>
      <c r="AJ23" s="758"/>
      <c r="AK23" s="758"/>
      <c r="AL23" s="758"/>
      <c r="AM23" s="758"/>
      <c r="AN23" s="757"/>
      <c r="AO23" s="1424" t="s">
        <v>885</v>
      </c>
      <c r="AP23" s="1414"/>
      <c r="AQ23" s="1414"/>
      <c r="AR23" s="1414"/>
      <c r="AS23" s="1415"/>
      <c r="AT23" s="698">
        <v>0.8</v>
      </c>
      <c r="AU23" s="698">
        <v>1</v>
      </c>
      <c r="AV23" s="698">
        <v>1</v>
      </c>
      <c r="AW23" s="699" t="s">
        <v>110</v>
      </c>
      <c r="AX23" s="699" t="s">
        <v>110</v>
      </c>
      <c r="AY23" s="698">
        <v>50</v>
      </c>
      <c r="AZ23" s="698">
        <v>50</v>
      </c>
      <c r="BA23" s="698">
        <v>50</v>
      </c>
      <c r="BB23" s="757"/>
      <c r="BC23" s="757"/>
      <c r="BD23" s="757"/>
      <c r="BE23" s="757"/>
      <c r="BF23" s="757"/>
      <c r="BG23" s="757"/>
      <c r="BH23" s="757"/>
      <c r="BI23" s="757"/>
      <c r="BJ23" s="757"/>
      <c r="BK23" s="757"/>
      <c r="BL23" s="757"/>
      <c r="BM23" s="757"/>
      <c r="BN23" s="757"/>
      <c r="BO23" s="757"/>
      <c r="BP23" s="757"/>
      <c r="BQ23" s="757"/>
      <c r="BR23" s="757"/>
      <c r="BS23" s="757"/>
      <c r="BT23" s="757"/>
      <c r="BU23" s="753"/>
      <c r="BV23" s="757"/>
      <c r="BW23" s="757"/>
      <c r="BX23" s="757"/>
      <c r="BY23" s="757"/>
      <c r="BZ23" s="757"/>
      <c r="CA23" s="757"/>
      <c r="CB23" s="757"/>
      <c r="CC23" s="757"/>
      <c r="CD23" s="757"/>
      <c r="CE23" s="757"/>
      <c r="CF23" s="757"/>
      <c r="CG23" s="757"/>
      <c r="CH23" s="757"/>
      <c r="CI23" s="757"/>
      <c r="CJ23" s="757"/>
      <c r="CK23" s="757"/>
      <c r="CL23" s="757"/>
      <c r="CM23" s="757"/>
      <c r="CN23" s="757"/>
      <c r="CO23" s="757"/>
      <c r="CP23" s="757"/>
      <c r="CQ23" s="757"/>
      <c r="CR23" s="757"/>
      <c r="CS23" s="757"/>
      <c r="CT23" s="757"/>
      <c r="CU23" s="757"/>
      <c r="CV23" s="757"/>
      <c r="CW23" s="757"/>
      <c r="CX23" s="757"/>
      <c r="CY23" s="757"/>
      <c r="CZ23" s="757"/>
      <c r="DA23" s="757"/>
      <c r="DB23" s="757"/>
      <c r="DC23" s="757"/>
      <c r="DD23" s="757"/>
      <c r="DE23" s="757"/>
      <c r="DF23" s="757"/>
      <c r="DG23" s="757"/>
      <c r="DH23" s="757"/>
      <c r="DI23" s="757"/>
      <c r="DJ23" s="757"/>
      <c r="DK23" s="757"/>
      <c r="DL23" s="757"/>
      <c r="DM23" s="757"/>
      <c r="DN23" s="757"/>
      <c r="DO23" s="757"/>
      <c r="DP23" s="757"/>
      <c r="DQ23" s="757"/>
      <c r="DR23" s="757"/>
      <c r="DS23" s="757"/>
      <c r="DT23" s="767"/>
      <c r="DU23" s="753"/>
      <c r="DV23" s="753"/>
      <c r="DW23" s="753"/>
      <c r="DX23" s="753"/>
      <c r="DY23" s="778"/>
      <c r="DZ23" s="770"/>
      <c r="EC23" s="819"/>
    </row>
    <row r="24" spans="1:133" ht="12.75" customHeight="1">
      <c r="A24" s="854"/>
      <c r="B24" s="798" t="s">
        <v>712</v>
      </c>
      <c r="C24" s="101">
        <f>IF($C$10="A",$R$16,IF($C$10="B",$R$17,IF($C$10="C",$R$18,IF($C$10="D",$R$19,IF($C$10="E",$R$20,IF($C$10="F",$R$21))))))</f>
        <v>1.5</v>
      </c>
      <c r="D24" s="55" t="s">
        <v>455</v>
      </c>
      <c r="E24" s="809"/>
      <c r="F24" s="832"/>
      <c r="G24" s="780"/>
      <c r="H24" s="780"/>
      <c r="I24" s="829"/>
      <c r="J24" s="1081"/>
      <c r="K24" s="1204" t="s">
        <v>858</v>
      </c>
      <c r="T24" s="1205" t="s">
        <v>886</v>
      </c>
      <c r="U24" s="1095" t="s">
        <v>887</v>
      </c>
      <c r="V24" s="1206">
        <v>0.8</v>
      </c>
      <c r="W24" s="1206">
        <v>1</v>
      </c>
      <c r="X24" s="1206">
        <v>1</v>
      </c>
      <c r="Y24" s="1206" t="s">
        <v>110</v>
      </c>
      <c r="Z24" s="1206" t="s">
        <v>110</v>
      </c>
      <c r="AA24" s="1206">
        <v>50</v>
      </c>
      <c r="AB24" s="1206">
        <v>50</v>
      </c>
      <c r="AC24" s="1206">
        <v>50</v>
      </c>
      <c r="AD24" s="1088"/>
      <c r="AE24" s="1088"/>
      <c r="AF24" s="1088"/>
      <c r="AG24" s="757"/>
      <c r="AH24" s="760"/>
      <c r="AI24" s="760"/>
      <c r="AJ24" s="761"/>
      <c r="AK24" s="761"/>
      <c r="AL24" s="761"/>
      <c r="AM24" s="761"/>
      <c r="AN24" s="757"/>
      <c r="BB24" s="757"/>
      <c r="BC24" s="757"/>
      <c r="BD24" s="757"/>
      <c r="BE24" s="757"/>
      <c r="BF24" s="757"/>
      <c r="BG24" s="757"/>
      <c r="BH24" s="757"/>
      <c r="BI24" s="757"/>
      <c r="BJ24" s="757"/>
      <c r="BK24" s="757"/>
      <c r="BL24" s="757"/>
      <c r="BM24" s="757"/>
      <c r="BN24" s="757"/>
      <c r="BO24" s="757"/>
      <c r="BP24" s="774"/>
      <c r="BQ24" s="774"/>
      <c r="BR24" s="774"/>
      <c r="BS24" s="774"/>
      <c r="BT24" s="774"/>
      <c r="BU24" s="753"/>
      <c r="BV24" s="774"/>
      <c r="BW24" s="774"/>
      <c r="BX24" s="774"/>
      <c r="BY24" s="774"/>
      <c r="BZ24" s="774"/>
      <c r="CA24" s="774"/>
      <c r="CB24" s="774"/>
      <c r="CC24" s="774"/>
      <c r="CD24" s="774"/>
      <c r="CE24" s="774"/>
      <c r="CF24" s="774"/>
      <c r="CG24" s="774"/>
      <c r="CH24" s="774"/>
      <c r="CI24" s="774"/>
      <c r="CJ24" s="774"/>
      <c r="CK24" s="774"/>
      <c r="CL24" s="774"/>
      <c r="CM24" s="774"/>
      <c r="CN24" s="774"/>
      <c r="CO24" s="774"/>
      <c r="CP24" s="774"/>
      <c r="CQ24" s="774"/>
      <c r="CR24" s="774"/>
      <c r="CS24" s="774"/>
      <c r="CT24" s="774"/>
      <c r="CU24" s="774"/>
      <c r="CV24" s="774"/>
      <c r="CW24" s="774"/>
      <c r="CX24" s="774"/>
      <c r="CY24" s="774"/>
      <c r="CZ24" s="774"/>
      <c r="DA24" s="774"/>
      <c r="DB24" s="774"/>
      <c r="DC24" s="774"/>
      <c r="DD24" s="774"/>
      <c r="DE24" s="774"/>
      <c r="DF24" s="774"/>
      <c r="DG24" s="774"/>
      <c r="DH24" s="774"/>
      <c r="DI24" s="774"/>
      <c r="DJ24" s="774"/>
      <c r="DK24" s="774"/>
      <c r="DL24" s="774"/>
      <c r="DM24" s="774"/>
      <c r="DN24" s="774"/>
      <c r="DO24" s="774"/>
      <c r="DP24" s="774"/>
      <c r="DQ24" s="774"/>
      <c r="DR24" s="774"/>
      <c r="DS24" s="774"/>
      <c r="DT24" s="767"/>
      <c r="DU24" s="753"/>
      <c r="DV24" s="753"/>
      <c r="DW24" s="753"/>
      <c r="DX24" s="753"/>
      <c r="DY24" s="778"/>
      <c r="DZ24" s="770"/>
      <c r="EC24" s="819"/>
    </row>
    <row r="25" spans="1:133" ht="12.75" customHeight="1">
      <c r="A25" s="858" t="s">
        <v>707</v>
      </c>
      <c r="B25" s="780"/>
      <c r="C25" s="89"/>
      <c r="D25" s="20"/>
      <c r="E25" s="780"/>
      <c r="F25" s="780"/>
      <c r="G25" s="780"/>
      <c r="H25" s="780"/>
      <c r="I25" s="829"/>
      <c r="J25" s="1063"/>
      <c r="K25" s="1204" t="s">
        <v>861</v>
      </c>
      <c r="L25" s="270" t="s">
        <v>462</v>
      </c>
      <c r="M25" s="1112"/>
      <c r="N25" s="1113"/>
      <c r="O25" s="1114"/>
      <c r="P25" s="1061"/>
      <c r="T25" s="1066" t="s">
        <v>1215</v>
      </c>
      <c r="U25" s="1185"/>
      <c r="V25" s="1185"/>
      <c r="W25" s="1185"/>
      <c r="X25" s="1185"/>
      <c r="Y25" s="1185"/>
      <c r="Z25" s="1185"/>
      <c r="AA25" s="1185"/>
      <c r="AB25" s="1185"/>
      <c r="AC25" s="1068"/>
      <c r="AG25" s="770"/>
      <c r="AH25" s="758"/>
      <c r="AI25" s="758"/>
      <c r="AJ25" s="758"/>
      <c r="AK25" s="758"/>
      <c r="AL25" s="758"/>
      <c r="AM25" s="758"/>
      <c r="AN25" s="770"/>
      <c r="AO25" s="617" t="s">
        <v>104</v>
      </c>
      <c r="BB25" s="803"/>
      <c r="BC25" s="803"/>
      <c r="BD25" s="803"/>
      <c r="BE25" s="803"/>
      <c r="BF25" s="803"/>
      <c r="BG25" s="803"/>
      <c r="BH25" s="803"/>
      <c r="BI25" s="803"/>
      <c r="BJ25" s="803"/>
      <c r="BK25" s="803"/>
      <c r="BL25" s="803"/>
      <c r="BM25" s="803"/>
      <c r="BN25" s="803"/>
      <c r="BO25" s="803"/>
      <c r="BP25" s="803"/>
      <c r="BQ25" s="803"/>
      <c r="BR25" s="803"/>
      <c r="BS25" s="803"/>
      <c r="BT25" s="803"/>
      <c r="BU25" s="774"/>
      <c r="BV25" s="774"/>
      <c r="BW25" s="774"/>
      <c r="BX25" s="774"/>
      <c r="BY25" s="774"/>
      <c r="BZ25" s="774"/>
      <c r="CA25" s="774"/>
      <c r="CB25" s="774"/>
      <c r="CC25" s="774"/>
      <c r="CD25" s="774"/>
      <c r="CE25" s="774"/>
      <c r="CF25" s="774"/>
      <c r="CG25" s="774"/>
      <c r="CH25" s="774"/>
      <c r="CI25" s="774"/>
      <c r="CJ25" s="774"/>
      <c r="CK25" s="774"/>
      <c r="CL25" s="774"/>
      <c r="CM25" s="774"/>
      <c r="CN25" s="774"/>
      <c r="CO25" s="774"/>
      <c r="CP25" s="774"/>
      <c r="CQ25" s="774"/>
      <c r="CR25" s="774"/>
      <c r="CS25" s="774"/>
      <c r="CT25" s="770"/>
      <c r="CU25" s="770"/>
      <c r="CV25" s="770"/>
      <c r="CW25" s="770"/>
      <c r="CX25" s="770"/>
      <c r="CY25" s="770"/>
      <c r="CZ25" s="770"/>
      <c r="DA25" s="770"/>
      <c r="DB25" s="770"/>
      <c r="DC25" s="770"/>
      <c r="DD25" s="770"/>
      <c r="DE25" s="770"/>
      <c r="DF25" s="770"/>
      <c r="DG25" s="770"/>
      <c r="DH25" s="770"/>
      <c r="DI25" s="770"/>
      <c r="DJ25" s="770"/>
      <c r="DK25" s="770"/>
      <c r="DL25" s="770"/>
      <c r="DM25" s="770"/>
      <c r="DN25" s="770"/>
      <c r="DO25" s="770"/>
      <c r="DP25" s="770"/>
      <c r="DQ25" s="770"/>
      <c r="DR25" s="770"/>
      <c r="DS25" s="770"/>
      <c r="DT25" s="767"/>
      <c r="DU25" s="753"/>
      <c r="DV25" s="753"/>
      <c r="DW25" s="753"/>
      <c r="DX25" s="753"/>
      <c r="DY25" s="778"/>
      <c r="DZ25" s="770"/>
      <c r="EC25" s="819"/>
    </row>
    <row r="26" spans="1:133" ht="12.75" customHeight="1">
      <c r="A26" s="854" t="s">
        <v>255</v>
      </c>
      <c r="B26" s="780"/>
      <c r="C26" s="510"/>
      <c r="D26" s="81"/>
      <c r="E26" s="780"/>
      <c r="F26" s="753"/>
      <c r="G26" s="753"/>
      <c r="H26" s="753"/>
      <c r="I26" s="834"/>
      <c r="J26" s="1081"/>
      <c r="K26" s="1204" t="s">
        <v>865</v>
      </c>
      <c r="L26" s="1115"/>
      <c r="M26" s="1112" t="s">
        <v>159</v>
      </c>
      <c r="N26" s="1112"/>
      <c r="O26" s="1114"/>
      <c r="T26" s="1069" t="s">
        <v>888</v>
      </c>
      <c r="U26" s="1186"/>
      <c r="V26" s="1186"/>
      <c r="W26" s="1186"/>
      <c r="X26" s="1186"/>
      <c r="Y26" s="1186"/>
      <c r="Z26" s="1186"/>
      <c r="AA26" s="1186"/>
      <c r="AB26" s="1186"/>
      <c r="AC26" s="1071"/>
      <c r="AG26" s="770"/>
      <c r="AH26" s="758"/>
      <c r="AI26" s="758"/>
      <c r="AJ26" s="758"/>
      <c r="AK26" s="758"/>
      <c r="AL26" s="758"/>
      <c r="AM26" s="758"/>
      <c r="AN26" s="770"/>
      <c r="AO26" s="718" t="s">
        <v>748</v>
      </c>
      <c r="BB26" s="803"/>
      <c r="BC26" s="803"/>
      <c r="BD26" s="803"/>
      <c r="BE26" s="803"/>
      <c r="BF26" s="803"/>
      <c r="BG26" s="803"/>
      <c r="BH26" s="803"/>
      <c r="BI26" s="803"/>
      <c r="BJ26" s="803"/>
      <c r="BK26" s="803"/>
      <c r="BL26" s="803"/>
      <c r="BM26" s="803"/>
      <c r="BN26" s="803"/>
      <c r="BO26" s="803"/>
      <c r="BP26" s="803"/>
      <c r="BQ26" s="803"/>
      <c r="BR26" s="803"/>
      <c r="BS26" s="803"/>
      <c r="BT26" s="803"/>
      <c r="BU26" s="774"/>
      <c r="BV26" s="774"/>
      <c r="BW26" s="774"/>
      <c r="BX26" s="774"/>
      <c r="BY26" s="774"/>
      <c r="BZ26" s="774"/>
      <c r="CA26" s="774"/>
      <c r="CB26" s="774"/>
      <c r="CC26" s="774"/>
      <c r="CD26" s="774"/>
      <c r="CE26" s="774"/>
      <c r="CF26" s="774"/>
      <c r="CG26" s="774"/>
      <c r="CH26" s="774"/>
      <c r="CI26" s="774"/>
      <c r="CJ26" s="774"/>
      <c r="CK26" s="774"/>
      <c r="CL26" s="774"/>
      <c r="CM26" s="774"/>
      <c r="CN26" s="774"/>
      <c r="CO26" s="774"/>
      <c r="CP26" s="774"/>
      <c r="CQ26" s="774"/>
      <c r="CR26" s="774"/>
      <c r="CS26" s="774"/>
      <c r="CT26" s="770"/>
      <c r="CU26" s="770"/>
      <c r="CV26" s="770"/>
      <c r="CW26" s="770"/>
      <c r="CX26" s="770"/>
      <c r="CY26" s="770"/>
      <c r="CZ26" s="770"/>
      <c r="DA26" s="770"/>
      <c r="DB26" s="770"/>
      <c r="DC26" s="770"/>
      <c r="DD26" s="770"/>
      <c r="DE26" s="770"/>
      <c r="DF26" s="770"/>
      <c r="DG26" s="770"/>
      <c r="DH26" s="770"/>
      <c r="DI26" s="770"/>
      <c r="DJ26" s="770"/>
      <c r="DK26" s="770"/>
      <c r="DL26" s="770"/>
      <c r="DM26" s="770"/>
      <c r="DN26" s="770"/>
      <c r="DO26" s="770"/>
      <c r="DP26" s="770"/>
      <c r="DQ26" s="770"/>
      <c r="DR26" s="770"/>
      <c r="DS26" s="770"/>
      <c r="DT26" s="776"/>
      <c r="DX26" s="753"/>
      <c r="DY26" s="778"/>
      <c r="DZ26" s="770"/>
      <c r="EC26" s="819"/>
    </row>
    <row r="27" spans="1:133" ht="12.75" customHeight="1">
      <c r="A27" s="857"/>
      <c r="B27" s="798" t="s">
        <v>717</v>
      </c>
      <c r="C27" s="107">
        <f>IF($C$23="Note b","N.A.",$C$23*$C$12)</f>
        <v>2.46</v>
      </c>
      <c r="D27" s="55" t="s">
        <v>458</v>
      </c>
      <c r="E27" s="780"/>
      <c r="F27" s="780"/>
      <c r="G27" s="835"/>
      <c r="H27" s="773"/>
      <c r="I27" s="836"/>
      <c r="K27" s="1125" t="s">
        <v>869</v>
      </c>
      <c r="L27" s="1119" t="s">
        <v>51</v>
      </c>
      <c r="M27" s="1120" t="s">
        <v>158</v>
      </c>
      <c r="N27" s="1121" t="s">
        <v>27</v>
      </c>
      <c r="O27" s="1121" t="s">
        <v>34</v>
      </c>
      <c r="P27" s="1110"/>
      <c r="T27" s="1066"/>
      <c r="U27" s="1068"/>
      <c r="V27" s="1073"/>
      <c r="W27" s="1187"/>
      <c r="X27" s="1187"/>
      <c r="Y27" s="1188" t="s">
        <v>629</v>
      </c>
      <c r="Z27" s="1112"/>
      <c r="AA27" s="1112"/>
      <c r="AB27" s="1112"/>
      <c r="AC27" s="1114"/>
      <c r="AG27" s="753"/>
      <c r="AH27" s="770"/>
      <c r="AI27" s="753"/>
      <c r="AJ27" s="753"/>
      <c r="AK27" s="753"/>
      <c r="AL27" s="753"/>
      <c r="AM27" s="753"/>
      <c r="AN27" s="753"/>
      <c r="AO27" s="718" t="s">
        <v>889</v>
      </c>
      <c r="BB27" s="753"/>
      <c r="BC27" s="753"/>
      <c r="BD27" s="753"/>
      <c r="BE27" s="753"/>
      <c r="BF27" s="753"/>
      <c r="BG27" s="753"/>
      <c r="BH27" s="753"/>
      <c r="BI27" s="753"/>
      <c r="BJ27" s="753"/>
      <c r="BK27" s="753"/>
      <c r="BL27" s="753"/>
      <c r="BM27" s="753"/>
      <c r="BN27" s="753"/>
      <c r="BO27" s="753"/>
      <c r="BP27" s="753"/>
      <c r="BQ27" s="753"/>
      <c r="BR27" s="753"/>
      <c r="BS27" s="753"/>
      <c r="BT27" s="753"/>
      <c r="BU27" s="753"/>
      <c r="BV27" s="753"/>
      <c r="BW27" s="753"/>
      <c r="BX27" s="753"/>
      <c r="BY27" s="753"/>
      <c r="BZ27" s="753"/>
      <c r="CA27" s="753"/>
      <c r="CB27" s="753"/>
      <c r="CC27" s="753"/>
      <c r="CD27" s="753"/>
      <c r="CE27" s="753"/>
      <c r="CF27" s="753"/>
      <c r="CG27" s="753"/>
      <c r="CH27" s="753"/>
      <c r="CI27" s="753"/>
      <c r="CJ27" s="753"/>
      <c r="CK27" s="753"/>
      <c r="CL27" s="753"/>
      <c r="CM27" s="753"/>
      <c r="CN27" s="753"/>
      <c r="CO27" s="753"/>
      <c r="CP27" s="753"/>
      <c r="CQ27" s="753"/>
      <c r="CR27" s="753"/>
      <c r="CS27" s="753"/>
      <c r="CT27" s="753"/>
      <c r="CU27" s="753"/>
      <c r="CV27" s="753"/>
      <c r="CW27" s="753"/>
      <c r="CX27" s="753"/>
      <c r="CY27" s="753"/>
      <c r="CZ27" s="753"/>
      <c r="DA27" s="753"/>
      <c r="DB27" s="753"/>
      <c r="DC27" s="753"/>
      <c r="DD27" s="753"/>
      <c r="DE27" s="753"/>
      <c r="DF27" s="753"/>
      <c r="DG27" s="753"/>
      <c r="DH27" s="753"/>
      <c r="DI27" s="753"/>
      <c r="DJ27" s="753"/>
      <c r="DK27" s="753"/>
      <c r="DL27" s="753"/>
      <c r="DM27" s="753"/>
      <c r="DN27" s="753"/>
      <c r="DO27" s="753"/>
      <c r="DP27" s="753"/>
      <c r="DQ27" s="753"/>
      <c r="DR27" s="753"/>
      <c r="DS27" s="767"/>
      <c r="DT27" s="776"/>
      <c r="DX27" s="753"/>
      <c r="DY27" s="778"/>
      <c r="DZ27" s="770"/>
      <c r="EC27" s="819"/>
    </row>
    <row r="28" spans="1:133" ht="12.75" customHeight="1">
      <c r="A28" s="854"/>
      <c r="B28" s="798" t="s">
        <v>719</v>
      </c>
      <c r="C28" s="109">
        <f>IF($C$24="Note b","N.A.",$C$24*$C$13)</f>
        <v>1.341</v>
      </c>
      <c r="D28" s="55" t="s">
        <v>459</v>
      </c>
      <c r="E28" s="780"/>
      <c r="F28" s="837"/>
      <c r="G28" s="838"/>
      <c r="H28" s="773"/>
      <c r="I28" s="829"/>
      <c r="K28" s="1125" t="s">
        <v>872</v>
      </c>
      <c r="L28" s="1123" t="s">
        <v>52</v>
      </c>
      <c r="M28" s="1123" t="s">
        <v>29</v>
      </c>
      <c r="N28" s="1123" t="s">
        <v>29</v>
      </c>
      <c r="O28" s="1123" t="s">
        <v>29</v>
      </c>
      <c r="P28" s="1110"/>
      <c r="Q28" s="1063"/>
      <c r="T28" s="1069" t="s">
        <v>631</v>
      </c>
      <c r="U28" s="1071"/>
      <c r="V28" s="1074" t="s">
        <v>109</v>
      </c>
      <c r="W28" s="1119" t="s">
        <v>13</v>
      </c>
      <c r="X28" s="1074" t="s">
        <v>155</v>
      </c>
      <c r="Y28" s="1189" t="s">
        <v>630</v>
      </c>
      <c r="Z28" s="1074" t="s">
        <v>33</v>
      </c>
      <c r="AA28" s="1074" t="s">
        <v>32</v>
      </c>
      <c r="AB28" s="1074" t="s">
        <v>35</v>
      </c>
      <c r="AC28" s="1074" t="s">
        <v>36</v>
      </c>
      <c r="AG28" s="758"/>
      <c r="AH28" s="758"/>
      <c r="AI28" s="758"/>
      <c r="AJ28" s="758"/>
      <c r="AK28" s="758"/>
      <c r="AL28" s="758"/>
      <c r="AM28" s="758"/>
      <c r="AN28" s="753"/>
      <c r="AO28" s="719" t="s">
        <v>890</v>
      </c>
      <c r="AP28" s="736"/>
      <c r="AQ28" s="736"/>
      <c r="AR28" s="736"/>
      <c r="AS28" s="736"/>
      <c r="BB28" s="753"/>
      <c r="BC28" s="753"/>
      <c r="BD28" s="753"/>
      <c r="BE28" s="753"/>
      <c r="BF28" s="753"/>
      <c r="BG28" s="753"/>
      <c r="BH28" s="753"/>
      <c r="BI28" s="753"/>
      <c r="BJ28" s="753"/>
      <c r="BK28" s="753"/>
      <c r="BL28" s="753"/>
      <c r="BM28" s="753"/>
      <c r="BN28" s="753"/>
      <c r="BO28" s="753"/>
      <c r="BP28" s="753"/>
      <c r="BQ28" s="753"/>
      <c r="BR28" s="753"/>
      <c r="BS28" s="753"/>
      <c r="BT28" s="753"/>
      <c r="BU28" s="753"/>
      <c r="BV28" s="753"/>
      <c r="BW28" s="753"/>
      <c r="BX28" s="753"/>
      <c r="BY28" s="753"/>
      <c r="BZ28" s="753"/>
      <c r="CA28" s="753"/>
      <c r="CB28" s="753"/>
      <c r="CC28" s="753"/>
      <c r="CD28" s="753"/>
      <c r="CE28" s="753"/>
      <c r="CF28" s="753"/>
      <c r="CG28" s="753"/>
      <c r="CH28" s="753"/>
      <c r="CI28" s="753"/>
      <c r="CJ28" s="753"/>
      <c r="CK28" s="753"/>
      <c r="CL28" s="753"/>
      <c r="CM28" s="753"/>
      <c r="CN28" s="753"/>
      <c r="CO28" s="753"/>
      <c r="CP28" s="753"/>
      <c r="CQ28" s="753"/>
      <c r="CR28" s="753"/>
      <c r="CS28" s="753"/>
      <c r="CT28" s="753"/>
      <c r="CU28" s="753"/>
      <c r="CV28" s="753"/>
      <c r="CW28" s="753"/>
      <c r="CX28" s="753"/>
      <c r="CY28" s="753"/>
      <c r="CZ28" s="753"/>
      <c r="DA28" s="753"/>
      <c r="DB28" s="753"/>
      <c r="DC28" s="753"/>
      <c r="DD28" s="753"/>
      <c r="DE28" s="753"/>
      <c r="DF28" s="753"/>
      <c r="DG28" s="753"/>
      <c r="DH28" s="753"/>
      <c r="DI28" s="753"/>
      <c r="DJ28" s="753"/>
      <c r="DK28" s="753"/>
      <c r="DL28" s="753"/>
      <c r="DM28" s="753"/>
      <c r="DN28" s="753"/>
      <c r="DO28" s="753"/>
      <c r="DP28" s="753"/>
      <c r="DQ28" s="753"/>
      <c r="DR28" s="753"/>
      <c r="DS28" s="767"/>
      <c r="DT28" s="776"/>
      <c r="DX28" s="753"/>
      <c r="DY28" s="778"/>
      <c r="DZ28" s="770"/>
      <c r="EC28" s="819"/>
    </row>
    <row r="29" spans="1:133" ht="12.75" customHeight="1">
      <c r="A29" s="857"/>
      <c r="B29" s="780"/>
      <c r="C29" s="89"/>
      <c r="D29" s="55"/>
      <c r="E29" s="780"/>
      <c r="F29" s="780"/>
      <c r="G29" s="753"/>
      <c r="H29" s="753"/>
      <c r="I29" s="834"/>
      <c r="J29" s="1081"/>
      <c r="K29" s="1090" t="s">
        <v>875</v>
      </c>
      <c r="L29" s="1126" t="s">
        <v>368</v>
      </c>
      <c r="M29" s="1126" t="s">
        <v>31</v>
      </c>
      <c r="N29" s="1126" t="s">
        <v>31</v>
      </c>
      <c r="O29" s="1126" t="s">
        <v>33</v>
      </c>
      <c r="P29" s="1127"/>
      <c r="Q29" s="1063"/>
      <c r="T29" s="1207" t="s">
        <v>891</v>
      </c>
      <c r="U29" s="1208" t="s">
        <v>892</v>
      </c>
      <c r="V29" s="1209">
        <v>3</v>
      </c>
      <c r="W29" s="1209">
        <v>2</v>
      </c>
      <c r="X29" s="1209">
        <v>2.5</v>
      </c>
      <c r="Y29" s="1209" t="s">
        <v>110</v>
      </c>
      <c r="Z29" s="1209" t="s">
        <v>110</v>
      </c>
      <c r="AA29" s="1209">
        <v>160</v>
      </c>
      <c r="AB29" s="1209">
        <v>100</v>
      </c>
      <c r="AC29" s="1209">
        <v>100</v>
      </c>
      <c r="AD29" s="1088"/>
      <c r="AE29" s="1088"/>
      <c r="AF29" s="1088"/>
      <c r="AG29" s="758"/>
      <c r="AH29" s="758"/>
      <c r="AI29" s="758"/>
      <c r="AJ29" s="758"/>
      <c r="AK29" s="758"/>
      <c r="AL29" s="758"/>
      <c r="AM29" s="758"/>
      <c r="AN29" s="753"/>
      <c r="AO29" s="719" t="s">
        <v>893</v>
      </c>
      <c r="AP29" s="736"/>
      <c r="AQ29" s="736"/>
      <c r="AR29" s="736"/>
      <c r="AS29" s="736"/>
      <c r="BB29" s="753"/>
      <c r="BC29" s="753"/>
      <c r="BD29" s="753"/>
      <c r="BE29" s="753"/>
      <c r="BF29" s="753"/>
      <c r="BG29" s="753"/>
      <c r="BH29" s="753"/>
      <c r="BI29" s="753"/>
      <c r="BJ29" s="753"/>
      <c r="BK29" s="753"/>
      <c r="BL29" s="753"/>
      <c r="BM29" s="753"/>
      <c r="BN29" s="753"/>
      <c r="BO29" s="753"/>
      <c r="BP29" s="753"/>
      <c r="BQ29" s="753"/>
      <c r="BR29" s="753"/>
      <c r="BS29" s="753"/>
      <c r="BT29" s="753"/>
      <c r="BU29" s="753"/>
      <c r="BV29" s="753"/>
      <c r="BW29" s="753"/>
      <c r="BX29" s="753"/>
      <c r="BY29" s="753"/>
      <c r="BZ29" s="753"/>
      <c r="CA29" s="753"/>
      <c r="CB29" s="753"/>
      <c r="CC29" s="753"/>
      <c r="CD29" s="753"/>
      <c r="CE29" s="753"/>
      <c r="CF29" s="753"/>
      <c r="CG29" s="753"/>
      <c r="CH29" s="753"/>
      <c r="CI29" s="753"/>
      <c r="CJ29" s="753"/>
      <c r="CK29" s="753"/>
      <c r="CL29" s="753"/>
      <c r="CM29" s="753"/>
      <c r="CN29" s="753"/>
      <c r="CO29" s="753"/>
      <c r="CP29" s="753"/>
      <c r="CQ29" s="753"/>
      <c r="CR29" s="753"/>
      <c r="CS29" s="753"/>
      <c r="CT29" s="753"/>
      <c r="CU29" s="753"/>
      <c r="CV29" s="753"/>
      <c r="CW29" s="753"/>
      <c r="CX29" s="753"/>
      <c r="CY29" s="753"/>
      <c r="CZ29" s="753"/>
      <c r="DA29" s="753"/>
      <c r="DB29" s="753"/>
      <c r="DC29" s="753"/>
      <c r="DD29" s="753"/>
      <c r="DE29" s="753"/>
      <c r="DF29" s="753"/>
      <c r="DG29" s="753"/>
      <c r="DH29" s="753"/>
      <c r="DI29" s="753"/>
      <c r="DJ29" s="753"/>
      <c r="DK29" s="753"/>
      <c r="DL29" s="753"/>
      <c r="DM29" s="753"/>
      <c r="DN29" s="753"/>
      <c r="DO29" s="753"/>
      <c r="DP29" s="753"/>
      <c r="DQ29" s="753"/>
      <c r="DR29" s="753"/>
      <c r="DS29" s="767"/>
      <c r="DT29" s="776"/>
      <c r="DX29" s="753"/>
      <c r="DY29" s="778"/>
      <c r="DZ29" s="753"/>
      <c r="EC29" s="819"/>
    </row>
    <row r="30" spans="1:133" ht="12.75" customHeight="1">
      <c r="A30" s="854" t="s">
        <v>80</v>
      </c>
      <c r="B30" s="780"/>
      <c r="C30" s="510"/>
      <c r="D30" s="81"/>
      <c r="E30" s="780"/>
      <c r="F30" s="753"/>
      <c r="G30" s="804"/>
      <c r="H30" s="780"/>
      <c r="I30" s="829"/>
      <c r="K30" s="1204" t="s">
        <v>878</v>
      </c>
      <c r="L30" s="1126" t="s">
        <v>370</v>
      </c>
      <c r="M30" s="1126" t="s">
        <v>33</v>
      </c>
      <c r="N30" s="1126" t="s">
        <v>33</v>
      </c>
      <c r="O30" s="1126" t="s">
        <v>32</v>
      </c>
      <c r="P30" s="1127"/>
      <c r="Q30" s="1063"/>
      <c r="T30" s="1210" t="s">
        <v>894</v>
      </c>
      <c r="U30" s="1208" t="s">
        <v>895</v>
      </c>
      <c r="V30" s="1211">
        <v>2</v>
      </c>
      <c r="W30" s="1211">
        <v>2</v>
      </c>
      <c r="X30" s="1211">
        <v>2.5</v>
      </c>
      <c r="Y30" s="1211" t="s">
        <v>110</v>
      </c>
      <c r="Z30" s="1211" t="s">
        <v>110</v>
      </c>
      <c r="AA30" s="1211">
        <v>100</v>
      </c>
      <c r="AB30" s="1211">
        <v>60</v>
      </c>
      <c r="AC30" s="1211">
        <v>60</v>
      </c>
      <c r="AD30" s="1088"/>
      <c r="AE30" s="1088"/>
      <c r="AF30" s="1088"/>
      <c r="AG30" s="758"/>
      <c r="AH30" s="758"/>
      <c r="AI30" s="758"/>
      <c r="AJ30" s="758"/>
      <c r="AK30" s="758"/>
      <c r="AL30" s="758"/>
      <c r="AM30" s="758"/>
      <c r="AN30" s="758"/>
      <c r="AO30" s="719" t="s">
        <v>896</v>
      </c>
      <c r="AP30" s="736"/>
      <c r="AQ30" s="736"/>
      <c r="AR30" s="736"/>
      <c r="AS30" s="736"/>
      <c r="CT30" s="753"/>
      <c r="CU30" s="753"/>
      <c r="CV30" s="753"/>
      <c r="CW30" s="753"/>
      <c r="CX30" s="753"/>
      <c r="CY30" s="753"/>
      <c r="CZ30" s="753"/>
      <c r="DA30" s="753"/>
      <c r="DB30" s="753"/>
      <c r="DC30" s="753"/>
      <c r="DD30" s="753"/>
      <c r="DE30" s="753"/>
      <c r="DF30" s="753"/>
      <c r="DG30" s="753"/>
      <c r="DH30" s="753"/>
      <c r="DI30" s="753"/>
      <c r="DJ30" s="753"/>
      <c r="DK30" s="753"/>
      <c r="DL30" s="753"/>
      <c r="DM30" s="753"/>
      <c r="DN30" s="753"/>
      <c r="DO30" s="753"/>
      <c r="DP30" s="753"/>
      <c r="DQ30" s="753"/>
      <c r="DR30" s="753"/>
      <c r="DS30" s="776"/>
      <c r="DT30" s="776"/>
      <c r="DX30" s="753"/>
      <c r="DY30" s="778"/>
      <c r="DZ30" s="753"/>
      <c r="EC30" s="819"/>
    </row>
    <row r="31" spans="1:133" ht="12.75" customHeight="1">
      <c r="A31" s="857"/>
      <c r="B31" s="798" t="s">
        <v>723</v>
      </c>
      <c r="C31" s="107">
        <f>IF($C$27="N.A.","N.A.",2*$C$27/3)</f>
        <v>1.64</v>
      </c>
      <c r="D31" s="55" t="s">
        <v>460</v>
      </c>
      <c r="E31" s="780"/>
      <c r="F31" s="780"/>
      <c r="G31" s="804"/>
      <c r="H31" s="837"/>
      <c r="I31" s="836"/>
      <c r="J31" s="1081"/>
      <c r="K31" s="1204" t="s">
        <v>881</v>
      </c>
      <c r="L31" s="1128" t="s">
        <v>371</v>
      </c>
      <c r="M31" s="1128" t="s">
        <v>32</v>
      </c>
      <c r="N31" s="1128" t="s">
        <v>32</v>
      </c>
      <c r="O31" s="1128" t="s">
        <v>32</v>
      </c>
      <c r="P31" s="1061" t="s">
        <v>147</v>
      </c>
      <c r="Q31" s="1063"/>
      <c r="T31" s="1210" t="s">
        <v>897</v>
      </c>
      <c r="U31" s="1208" t="s">
        <v>898</v>
      </c>
      <c r="V31" s="1201">
        <v>2</v>
      </c>
      <c r="W31" s="1201">
        <v>2</v>
      </c>
      <c r="X31" s="1201">
        <v>2</v>
      </c>
      <c r="Y31" s="1201" t="s">
        <v>110</v>
      </c>
      <c r="Z31" s="1201" t="s">
        <v>110</v>
      </c>
      <c r="AA31" s="1201" t="s">
        <v>110</v>
      </c>
      <c r="AB31" s="1201" t="s">
        <v>110</v>
      </c>
      <c r="AC31" s="1201" t="s">
        <v>110</v>
      </c>
      <c r="AD31" s="1088"/>
      <c r="AE31" s="1088"/>
      <c r="AF31" s="1088"/>
      <c r="AG31" s="758"/>
      <c r="AH31" s="758"/>
      <c r="AI31" s="758"/>
      <c r="AJ31" s="758"/>
      <c r="AK31" s="758"/>
      <c r="AL31" s="758"/>
      <c r="AM31" s="758"/>
      <c r="AN31" s="758"/>
      <c r="AO31" s="736"/>
      <c r="AP31" s="736"/>
      <c r="AQ31" s="736"/>
      <c r="AR31" s="736"/>
      <c r="AS31" s="736"/>
      <c r="CT31" s="753"/>
      <c r="CU31" s="753"/>
      <c r="CV31" s="753"/>
      <c r="CW31" s="753"/>
      <c r="CX31" s="753"/>
      <c r="CY31" s="753"/>
      <c r="CZ31" s="753"/>
      <c r="DA31" s="753"/>
      <c r="DB31" s="753"/>
      <c r="DC31" s="753"/>
      <c r="DD31" s="753"/>
      <c r="DE31" s="753"/>
      <c r="DF31" s="753"/>
      <c r="DG31" s="753"/>
      <c r="DH31" s="753"/>
      <c r="DI31" s="753"/>
      <c r="DJ31" s="753"/>
      <c r="DK31" s="753"/>
      <c r="DL31" s="753"/>
      <c r="DM31" s="753"/>
      <c r="DN31" s="753"/>
      <c r="DO31" s="753"/>
      <c r="DP31" s="753"/>
      <c r="DQ31" s="753"/>
      <c r="DR31" s="753"/>
      <c r="DS31" s="776"/>
      <c r="DT31" s="776"/>
      <c r="DX31" s="753"/>
      <c r="DY31" s="778"/>
      <c r="DZ31" s="753"/>
      <c r="EC31" s="819"/>
    </row>
    <row r="32" spans="1:133" ht="12.75" customHeight="1">
      <c r="A32" s="854"/>
      <c r="B32" s="798" t="s">
        <v>725</v>
      </c>
      <c r="C32" s="109">
        <f>IF($C$28="N.A.","N.A.",2*$C$28/3)</f>
        <v>0.89400000000000002</v>
      </c>
      <c r="D32" s="55" t="s">
        <v>461</v>
      </c>
      <c r="E32" s="780"/>
      <c r="F32" s="780"/>
      <c r="G32" s="804"/>
      <c r="H32" s="780"/>
      <c r="I32" s="829"/>
      <c r="J32" s="1081"/>
      <c r="K32" s="1204" t="s">
        <v>884</v>
      </c>
      <c r="L32" s="1090" t="s">
        <v>56</v>
      </c>
      <c r="M32" s="1061" t="str">
        <f>IF(OR($M$23="III",$M$23="IV"),"",IF($C$31&lt;0.167,"A",IF(AND($C$31&gt;=0.167,$C$31&lt;0.33),"B",IF(AND($C$31&gt;=0.33,$C$31&lt;0.5),"C",IF(AND($C$31&gt;=0.5,$C$13&lt;0.75),"D",IF((AND($C$31&gt;=0.5,$C$13&gt;=0.75)),"E"))))))</f>
        <v>E</v>
      </c>
      <c r="N32" s="1090" t="str">
        <f>IF(OR($M$23="I",$M$23="II",$M$23="IV"),"",IF($C$31&lt;0.167,"A",IF(AND($C$31&gt;=0.167,$C$31&lt;0.33),"B",IF(AND($C$31&gt;=0.33,$C$31&lt;0.5),"C",IF(AND($C$31&gt;=0.5,$C$13&lt;0.75),"D",IF((AND($C$31&gt;=0.5,$C$13&gt;=0.75)),"E"))))))</f>
        <v/>
      </c>
      <c r="O32" s="1090" t="str">
        <f>IF(OR($M$23="I",$M$23="II",$M$23="III"),"",IF($C$31&lt;0.167,"A",IF(AND($C$31&gt;=0.167,$C$31&lt;0.33),"C",IF(AND($C$31&gt;=0.33,$C$31&lt;0.5),"D",IF(AND($C$31&gt;=0.5,$C$13&lt;0.75),"D",IF((AND($C$31&gt;=0.5,$C$13&gt;=0.75)),"F"))))))</f>
        <v/>
      </c>
      <c r="P32" s="1090">
        <f>IF($C$35="A",1,IF($C$35="B",2,IF($C$35="C",3,IF($C$35="D",4,IF($C$35="E",5,IF($C$35="F",6))))))</f>
        <v>5</v>
      </c>
      <c r="Q32" s="1063"/>
      <c r="T32" s="1210" t="s">
        <v>899</v>
      </c>
      <c r="U32" s="1208" t="s">
        <v>900</v>
      </c>
      <c r="V32" s="1212">
        <v>3</v>
      </c>
      <c r="W32" s="1212">
        <v>2</v>
      </c>
      <c r="X32" s="1212">
        <v>2</v>
      </c>
      <c r="Y32" s="1201" t="s">
        <v>110</v>
      </c>
      <c r="Z32" s="1201" t="s">
        <v>110</v>
      </c>
      <c r="AA32" s="1201" t="s">
        <v>110</v>
      </c>
      <c r="AB32" s="1201" t="s">
        <v>110</v>
      </c>
      <c r="AC32" s="1201" t="s">
        <v>110</v>
      </c>
      <c r="AD32" s="1088"/>
      <c r="AE32" s="1088"/>
      <c r="AF32" s="1088"/>
      <c r="AO32" s="565" t="s">
        <v>1215</v>
      </c>
      <c r="AP32" s="566"/>
      <c r="AQ32" s="566"/>
      <c r="AR32" s="566"/>
      <c r="AS32" s="566"/>
      <c r="AT32" s="566"/>
      <c r="AU32" s="566"/>
      <c r="AV32" s="566"/>
      <c r="AW32" s="566"/>
      <c r="AX32" s="566"/>
      <c r="AY32" s="566"/>
      <c r="AZ32" s="566"/>
      <c r="BA32" s="636"/>
      <c r="CT32" s="753"/>
      <c r="CU32" s="753"/>
      <c r="CV32" s="753"/>
      <c r="CW32" s="753"/>
      <c r="CX32" s="753"/>
      <c r="CY32" s="753"/>
      <c r="CZ32" s="753"/>
      <c r="DA32" s="753"/>
      <c r="DB32" s="753"/>
      <c r="DC32" s="753"/>
      <c r="DD32" s="753"/>
      <c r="DE32" s="753"/>
      <c r="DF32" s="753"/>
      <c r="DG32" s="753"/>
      <c r="DH32" s="753"/>
      <c r="DI32" s="753"/>
      <c r="DJ32" s="753"/>
      <c r="DK32" s="753"/>
      <c r="DL32" s="753"/>
      <c r="DM32" s="753"/>
      <c r="DN32" s="753"/>
      <c r="DO32" s="753"/>
      <c r="DP32" s="753"/>
      <c r="DQ32" s="753"/>
      <c r="DR32" s="753"/>
      <c r="DS32" s="776"/>
      <c r="DT32" s="776"/>
      <c r="DX32" s="753"/>
      <c r="DY32" s="919"/>
      <c r="DZ32" s="775"/>
    </row>
    <row r="33" spans="1:133" ht="12.75" customHeight="1">
      <c r="A33" s="857"/>
      <c r="B33" s="780"/>
      <c r="C33" s="89"/>
      <c r="D33" s="55"/>
      <c r="E33" s="839"/>
      <c r="F33" s="780"/>
      <c r="G33" s="839"/>
      <c r="H33" s="773"/>
      <c r="I33" s="836"/>
      <c r="J33" s="1081"/>
      <c r="K33" s="1125" t="s">
        <v>886</v>
      </c>
      <c r="N33" s="1090"/>
      <c r="O33" s="1039"/>
      <c r="P33" s="1127"/>
      <c r="Q33" s="1063"/>
      <c r="T33" s="1210" t="s">
        <v>901</v>
      </c>
      <c r="U33" s="1208" t="s">
        <v>902</v>
      </c>
      <c r="V33" s="1201">
        <v>2</v>
      </c>
      <c r="W33" s="1201">
        <v>2</v>
      </c>
      <c r="X33" s="1201">
        <v>2</v>
      </c>
      <c r="Y33" s="1201" t="s">
        <v>110</v>
      </c>
      <c r="Z33" s="1201" t="s">
        <v>110</v>
      </c>
      <c r="AA33" s="1201" t="s">
        <v>110</v>
      </c>
      <c r="AB33" s="1201" t="s">
        <v>110</v>
      </c>
      <c r="AC33" s="1201" t="s">
        <v>110</v>
      </c>
      <c r="AD33" s="1088"/>
      <c r="AE33" s="1088"/>
      <c r="AF33" s="1061"/>
      <c r="AO33" s="568" t="s">
        <v>621</v>
      </c>
      <c r="AP33" s="637"/>
      <c r="AQ33" s="637"/>
      <c r="AR33" s="637"/>
      <c r="AS33" s="637"/>
      <c r="AT33" s="637"/>
      <c r="AU33" s="637"/>
      <c r="AV33" s="637"/>
      <c r="AW33" s="637"/>
      <c r="AX33" s="637"/>
      <c r="AY33" s="637"/>
      <c r="AZ33" s="637"/>
      <c r="BA33" s="638"/>
      <c r="CT33" s="753"/>
      <c r="CU33" s="753"/>
      <c r="CV33" s="753"/>
      <c r="CW33" s="753"/>
      <c r="CX33" s="753"/>
      <c r="CY33" s="753"/>
      <c r="CZ33" s="753"/>
      <c r="DA33" s="753"/>
      <c r="DB33" s="753"/>
      <c r="DC33" s="753"/>
      <c r="DD33" s="753"/>
      <c r="DE33" s="753"/>
      <c r="DF33" s="753"/>
      <c r="DG33" s="753"/>
      <c r="DH33" s="753"/>
      <c r="DI33" s="753"/>
      <c r="DJ33" s="753"/>
      <c r="DK33" s="753"/>
      <c r="DL33" s="753"/>
      <c r="DM33" s="753"/>
      <c r="DN33" s="753"/>
      <c r="DO33" s="753"/>
      <c r="DP33" s="753"/>
      <c r="DQ33" s="753"/>
      <c r="DR33" s="753"/>
      <c r="DS33" s="776"/>
      <c r="DT33" s="776"/>
      <c r="DX33" s="753"/>
      <c r="DY33" s="919"/>
      <c r="DZ33" s="775"/>
    </row>
    <row r="34" spans="1:133" ht="12.75" customHeight="1">
      <c r="A34" s="854" t="s">
        <v>58</v>
      </c>
      <c r="B34" s="780"/>
      <c r="C34" s="510"/>
      <c r="D34" s="55"/>
      <c r="E34" s="798"/>
      <c r="F34" s="780"/>
      <c r="G34" s="804"/>
      <c r="H34" s="773"/>
      <c r="I34" s="836"/>
      <c r="J34" s="1081"/>
      <c r="K34" s="1125" t="s">
        <v>891</v>
      </c>
      <c r="L34" s="270" t="s">
        <v>463</v>
      </c>
      <c r="M34" s="1112"/>
      <c r="N34" s="1113"/>
      <c r="O34" s="1114"/>
      <c r="P34" s="1130"/>
      <c r="Q34" s="1130"/>
      <c r="T34" s="1213" t="s">
        <v>903</v>
      </c>
      <c r="U34" s="1214" t="s">
        <v>904</v>
      </c>
      <c r="V34" s="1215">
        <v>3</v>
      </c>
      <c r="W34" s="1215">
        <v>2</v>
      </c>
      <c r="X34" s="1215">
        <v>2</v>
      </c>
      <c r="Y34" s="1216" t="s">
        <v>110</v>
      </c>
      <c r="Z34" s="1216" t="s">
        <v>110</v>
      </c>
      <c r="AA34" s="1216" t="s">
        <v>110</v>
      </c>
      <c r="AB34" s="1216" t="s">
        <v>110</v>
      </c>
      <c r="AC34" s="1216" t="s">
        <v>110</v>
      </c>
      <c r="AD34" s="1088"/>
      <c r="AE34" s="1088"/>
      <c r="AF34" s="1061"/>
      <c r="AH34" s="1251" t="s">
        <v>380</v>
      </c>
      <c r="AI34" s="33"/>
      <c r="AJ34" s="33"/>
      <c r="AK34" s="33"/>
      <c r="AL34" s="33"/>
      <c r="AO34" s="574"/>
      <c r="AP34" s="578"/>
      <c r="AQ34" s="578"/>
      <c r="AR34" s="578"/>
      <c r="AS34" s="575"/>
      <c r="AT34" s="639"/>
      <c r="AU34" s="639"/>
      <c r="AV34" s="640"/>
      <c r="AW34" s="641" t="s">
        <v>623</v>
      </c>
      <c r="AX34" s="642"/>
      <c r="AY34" s="642"/>
      <c r="AZ34" s="642"/>
      <c r="BA34" s="643"/>
      <c r="CT34" s="753"/>
      <c r="CU34" s="753"/>
      <c r="CV34" s="753"/>
      <c r="CW34" s="753"/>
      <c r="CX34" s="753"/>
      <c r="CY34" s="753"/>
      <c r="CZ34" s="753"/>
      <c r="DA34" s="753"/>
      <c r="DB34" s="753"/>
      <c r="DC34" s="753"/>
      <c r="DD34" s="753"/>
      <c r="DE34" s="753"/>
      <c r="DF34" s="753"/>
      <c r="DG34" s="753"/>
      <c r="DH34" s="753"/>
      <c r="DI34" s="753"/>
      <c r="DJ34" s="753"/>
      <c r="DK34" s="753"/>
      <c r="DL34" s="753"/>
      <c r="DM34" s="753"/>
      <c r="DN34" s="753"/>
      <c r="DO34" s="753"/>
      <c r="DP34" s="753"/>
      <c r="DQ34" s="753"/>
      <c r="DR34" s="753"/>
      <c r="DS34" s="776"/>
      <c r="DT34" s="776"/>
    </row>
    <row r="35" spans="1:133" ht="12.75" customHeight="1">
      <c r="A35" s="857"/>
      <c r="B35" s="798" t="s">
        <v>729</v>
      </c>
      <c r="C35" s="116" t="str">
        <f>IF($C$31="N.A.","N.A.",IF(OR($M$23="I",$M$23="II"),$M$32,IF($M$23="III",$N$32,IF($M$23="IV",$O$32))))</f>
        <v>E</v>
      </c>
      <c r="D35" s="55" t="s">
        <v>464</v>
      </c>
      <c r="E35" s="798"/>
      <c r="F35" s="764"/>
      <c r="G35" s="780"/>
      <c r="H35" s="840"/>
      <c r="I35" s="829"/>
      <c r="J35" s="1063"/>
      <c r="K35" s="1204" t="s">
        <v>894</v>
      </c>
      <c r="L35" s="1115"/>
      <c r="M35" s="1112" t="s">
        <v>159</v>
      </c>
      <c r="N35" s="1112"/>
      <c r="O35" s="1114"/>
      <c r="T35" s="1101" t="s">
        <v>905</v>
      </c>
      <c r="U35" s="1102" t="s">
        <v>906</v>
      </c>
      <c r="V35" s="1217">
        <v>3</v>
      </c>
      <c r="W35" s="1217">
        <v>2</v>
      </c>
      <c r="X35" s="1217">
        <v>2.5</v>
      </c>
      <c r="Y35" s="1217" t="s">
        <v>110</v>
      </c>
      <c r="Z35" s="1217" t="s">
        <v>110</v>
      </c>
      <c r="AA35" s="1217" t="s">
        <v>110</v>
      </c>
      <c r="AB35" s="1217" t="s">
        <v>110</v>
      </c>
      <c r="AC35" s="1217" t="s">
        <v>110</v>
      </c>
      <c r="AF35" s="1087"/>
      <c r="AH35" s="57"/>
      <c r="AI35" s="240"/>
      <c r="AJ35" s="33"/>
      <c r="AK35" s="33"/>
      <c r="AL35" s="33"/>
      <c r="AO35" s="582" t="s">
        <v>625</v>
      </c>
      <c r="AP35" s="584"/>
      <c r="AQ35" s="584"/>
      <c r="AR35" s="584"/>
      <c r="AS35" s="583"/>
      <c r="AT35" s="645" t="s">
        <v>109</v>
      </c>
      <c r="AU35" s="646" t="s">
        <v>626</v>
      </c>
      <c r="AV35" s="647" t="s">
        <v>627</v>
      </c>
      <c r="AW35" s="585" t="s">
        <v>628</v>
      </c>
      <c r="AX35" s="648"/>
      <c r="AY35" s="648"/>
      <c r="AZ35" s="648"/>
      <c r="BA35" s="638"/>
      <c r="CT35" s="753"/>
      <c r="CU35" s="753"/>
      <c r="CV35" s="753"/>
      <c r="CW35" s="753"/>
      <c r="CX35" s="753"/>
      <c r="CY35" s="753"/>
      <c r="CZ35" s="753"/>
      <c r="DA35" s="753"/>
      <c r="DB35" s="753"/>
      <c r="DC35" s="753"/>
      <c r="DD35" s="753"/>
      <c r="DE35" s="753"/>
      <c r="DF35" s="753"/>
      <c r="DG35" s="753"/>
      <c r="DH35" s="753"/>
      <c r="DI35" s="753"/>
      <c r="DJ35" s="753"/>
      <c r="DK35" s="753"/>
      <c r="DL35" s="753"/>
      <c r="DM35" s="753"/>
      <c r="DN35" s="753"/>
      <c r="DO35" s="753"/>
      <c r="DP35" s="753"/>
      <c r="DQ35" s="753"/>
      <c r="DR35" s="753"/>
      <c r="DS35" s="776"/>
      <c r="DT35" s="776"/>
      <c r="EC35" s="819"/>
    </row>
    <row r="36" spans="1:133" ht="12.75" customHeight="1">
      <c r="A36" s="854"/>
      <c r="B36" s="798" t="s">
        <v>731</v>
      </c>
      <c r="C36" s="118" t="str">
        <f>IF($C$32="N.A.","N.A.",IF(OR($M$23="I",$M$23="II"),$M$41,IF($M$23="III",$N$41,IF($M$23="IV",$O$41))))</f>
        <v>E</v>
      </c>
      <c r="D36" s="55" t="s">
        <v>465</v>
      </c>
      <c r="E36" s="798"/>
      <c r="F36" s="780"/>
      <c r="G36" s="804"/>
      <c r="H36" s="840"/>
      <c r="I36" s="829"/>
      <c r="K36" s="1204" t="s">
        <v>897</v>
      </c>
      <c r="L36" s="1119" t="s">
        <v>50</v>
      </c>
      <c r="M36" s="1120" t="s">
        <v>158</v>
      </c>
      <c r="N36" s="1121" t="s">
        <v>27</v>
      </c>
      <c r="O36" s="1121" t="s">
        <v>34</v>
      </c>
      <c r="P36" s="1130"/>
      <c r="Q36" s="1130"/>
      <c r="T36" s="1077" t="s">
        <v>907</v>
      </c>
      <c r="U36" s="1078" t="s">
        <v>908</v>
      </c>
      <c r="V36" s="1123">
        <v>6</v>
      </c>
      <c r="W36" s="1123">
        <v>2</v>
      </c>
      <c r="X36" s="1123">
        <v>5</v>
      </c>
      <c r="Y36" s="1123" t="s">
        <v>110</v>
      </c>
      <c r="Z36" s="1123" t="s">
        <v>110</v>
      </c>
      <c r="AA36" s="1123">
        <v>160</v>
      </c>
      <c r="AB36" s="1123">
        <v>160</v>
      </c>
      <c r="AC36" s="1123">
        <v>100</v>
      </c>
      <c r="AH36" s="1252"/>
      <c r="AI36" s="240"/>
      <c r="AJ36" s="33"/>
      <c r="AK36" s="33"/>
      <c r="AL36" s="33"/>
      <c r="AO36" s="585"/>
      <c r="AP36" s="586"/>
      <c r="AQ36" s="586"/>
      <c r="AR36" s="586"/>
      <c r="AS36" s="587"/>
      <c r="AT36" s="650"/>
      <c r="AU36" s="651"/>
      <c r="AV36" s="650"/>
      <c r="AW36" s="650" t="s">
        <v>630</v>
      </c>
      <c r="AX36" s="650" t="s">
        <v>33</v>
      </c>
      <c r="AY36" s="650" t="s">
        <v>32</v>
      </c>
      <c r="AZ36" s="650" t="s">
        <v>35</v>
      </c>
      <c r="BA36" s="650" t="s">
        <v>36</v>
      </c>
      <c r="CT36" s="753"/>
      <c r="CU36" s="753"/>
      <c r="CV36" s="753"/>
      <c r="CW36" s="753"/>
      <c r="CX36" s="753"/>
      <c r="CY36" s="753"/>
      <c r="CZ36" s="753"/>
      <c r="DA36" s="753"/>
      <c r="DB36" s="753"/>
      <c r="DC36" s="753"/>
      <c r="DD36" s="753"/>
      <c r="DE36" s="753"/>
      <c r="DF36" s="753"/>
      <c r="DG36" s="753"/>
      <c r="DH36" s="753"/>
      <c r="DI36" s="753"/>
      <c r="DJ36" s="753"/>
      <c r="DK36" s="753"/>
      <c r="DL36" s="753"/>
      <c r="DM36" s="753"/>
      <c r="DN36" s="753"/>
      <c r="DO36" s="753"/>
      <c r="DP36" s="753"/>
      <c r="DQ36" s="753"/>
      <c r="DR36" s="753"/>
      <c r="DS36" s="776"/>
      <c r="DT36" s="776"/>
      <c r="EC36" s="819"/>
    </row>
    <row r="37" spans="1:133" ht="12.75" customHeight="1">
      <c r="A37" s="857"/>
      <c r="B37" s="798" t="s">
        <v>85</v>
      </c>
      <c r="C37" s="124" t="str">
        <f>IF(OR($C$35="N.A.",$C$36="N.A."),"N.A.",$P$43)</f>
        <v>E</v>
      </c>
      <c r="D37" s="55" t="s">
        <v>86</v>
      </c>
      <c r="E37" s="780"/>
      <c r="F37" s="764"/>
      <c r="G37" s="804"/>
      <c r="H37" s="773"/>
      <c r="I37" s="836"/>
      <c r="K37" s="1204" t="s">
        <v>899</v>
      </c>
      <c r="L37" s="1123" t="s">
        <v>53</v>
      </c>
      <c r="M37" s="1123" t="s">
        <v>29</v>
      </c>
      <c r="N37" s="1123" t="s">
        <v>29</v>
      </c>
      <c r="O37" s="1123" t="s">
        <v>29</v>
      </c>
      <c r="P37" s="1130"/>
      <c r="Q37" s="783"/>
      <c r="T37" s="1116" t="s">
        <v>909</v>
      </c>
      <c r="U37" s="1117" t="s">
        <v>910</v>
      </c>
      <c r="V37" s="1126">
        <v>3.25</v>
      </c>
      <c r="W37" s="1126">
        <v>2</v>
      </c>
      <c r="X37" s="1126">
        <v>3.25</v>
      </c>
      <c r="Y37" s="1126" t="s">
        <v>110</v>
      </c>
      <c r="Z37" s="1126" t="s">
        <v>110</v>
      </c>
      <c r="AA37" s="1126">
        <v>35</v>
      </c>
      <c r="AB37" s="1126">
        <v>35</v>
      </c>
      <c r="AC37" s="1126" t="s">
        <v>112</v>
      </c>
      <c r="AH37" s="33"/>
      <c r="AI37" s="33"/>
      <c r="AJ37" s="33"/>
      <c r="AK37" s="33"/>
      <c r="AL37" s="33"/>
      <c r="AO37" s="1410" t="s">
        <v>632</v>
      </c>
      <c r="AP37" s="1411"/>
      <c r="AQ37" s="1411"/>
      <c r="AR37" s="1411"/>
      <c r="AS37" s="1412"/>
      <c r="AT37" s="652">
        <v>3</v>
      </c>
      <c r="AU37" s="652" t="s">
        <v>633</v>
      </c>
      <c r="AV37" s="652">
        <v>2.5</v>
      </c>
      <c r="AW37" s="653" t="s">
        <v>110</v>
      </c>
      <c r="AX37" s="653" t="s">
        <v>110</v>
      </c>
      <c r="AY37" s="652">
        <v>160</v>
      </c>
      <c r="AZ37" s="652">
        <v>100</v>
      </c>
      <c r="BA37" s="652">
        <v>100</v>
      </c>
      <c r="CT37" s="753"/>
      <c r="CU37" s="753"/>
      <c r="CV37" s="753"/>
      <c r="CW37" s="753"/>
      <c r="CX37" s="753"/>
      <c r="CY37" s="753"/>
      <c r="CZ37" s="753"/>
      <c r="DA37" s="753"/>
      <c r="DB37" s="753"/>
      <c r="DC37" s="753"/>
      <c r="DD37" s="753"/>
      <c r="DE37" s="753"/>
      <c r="DF37" s="753"/>
      <c r="DG37" s="753"/>
      <c r="DH37" s="753"/>
      <c r="DI37" s="753"/>
      <c r="DJ37" s="753"/>
      <c r="DK37" s="753"/>
      <c r="DL37" s="753"/>
      <c r="DM37" s="753"/>
      <c r="DN37" s="753"/>
      <c r="DO37" s="753"/>
      <c r="DP37" s="753"/>
      <c r="DQ37" s="753"/>
      <c r="DR37" s="753"/>
      <c r="DS37" s="776"/>
      <c r="DT37" s="776"/>
      <c r="EC37" s="819"/>
    </row>
    <row r="38" spans="1:133" ht="12.75" customHeight="1">
      <c r="A38" s="857"/>
      <c r="B38" s="780"/>
      <c r="C38" s="89"/>
      <c r="E38" s="780"/>
      <c r="F38" s="780"/>
      <c r="G38" s="780"/>
      <c r="H38" s="780"/>
      <c r="I38" s="829"/>
      <c r="K38" s="1090" t="s">
        <v>901</v>
      </c>
      <c r="L38" s="1126" t="s">
        <v>369</v>
      </c>
      <c r="M38" s="1126" t="s">
        <v>31</v>
      </c>
      <c r="N38" s="1126" t="s">
        <v>31</v>
      </c>
      <c r="O38" s="1126" t="s">
        <v>33</v>
      </c>
      <c r="P38" s="1130"/>
      <c r="Q38" s="783"/>
      <c r="T38" s="1116" t="s">
        <v>911</v>
      </c>
      <c r="U38" s="1117" t="s">
        <v>912</v>
      </c>
      <c r="V38" s="1126">
        <v>2.5</v>
      </c>
      <c r="W38" s="1126">
        <v>2</v>
      </c>
      <c r="X38" s="1126">
        <v>2.5</v>
      </c>
      <c r="Y38" s="1126" t="s">
        <v>110</v>
      </c>
      <c r="Z38" s="1126" t="s">
        <v>110</v>
      </c>
      <c r="AA38" s="1126">
        <v>160</v>
      </c>
      <c r="AB38" s="1126">
        <v>160</v>
      </c>
      <c r="AC38" s="1126">
        <v>100</v>
      </c>
      <c r="AH38" s="57"/>
      <c r="AI38" s="25"/>
      <c r="AJ38" s="33"/>
      <c r="AK38" s="33"/>
      <c r="AL38" s="33"/>
      <c r="AO38" s="1407" t="s">
        <v>636</v>
      </c>
      <c r="AP38" s="1408"/>
      <c r="AQ38" s="1408"/>
      <c r="AR38" s="1408"/>
      <c r="AS38" s="1409"/>
      <c r="AT38" s="654">
        <v>2</v>
      </c>
      <c r="AU38" s="654" t="s">
        <v>637</v>
      </c>
      <c r="AV38" s="654">
        <v>2.5</v>
      </c>
      <c r="AW38" s="655" t="s">
        <v>110</v>
      </c>
      <c r="AX38" s="655" t="s">
        <v>110</v>
      </c>
      <c r="AY38" s="654">
        <v>100</v>
      </c>
      <c r="AZ38" s="654">
        <v>60</v>
      </c>
      <c r="BA38" s="654">
        <v>60</v>
      </c>
      <c r="CT38" s="753"/>
      <c r="CU38" s="753"/>
      <c r="CV38" s="753"/>
      <c r="CW38" s="753"/>
      <c r="CX38" s="753"/>
      <c r="CY38" s="753"/>
      <c r="CZ38" s="753"/>
      <c r="DA38" s="753"/>
      <c r="DB38" s="753"/>
      <c r="DC38" s="753"/>
      <c r="DD38" s="753"/>
      <c r="DE38" s="753"/>
      <c r="DF38" s="753"/>
      <c r="DG38" s="753"/>
      <c r="DH38" s="753"/>
      <c r="DI38" s="753"/>
      <c r="DJ38" s="753"/>
      <c r="DK38" s="753"/>
      <c r="DL38" s="753"/>
      <c r="DM38" s="753"/>
      <c r="DN38" s="753"/>
      <c r="DO38" s="753"/>
      <c r="DP38" s="753"/>
      <c r="DQ38" s="753"/>
      <c r="DR38" s="753"/>
      <c r="DS38" s="776"/>
      <c r="DT38" s="776"/>
      <c r="EC38" s="819"/>
    </row>
    <row r="39" spans="1:133" ht="12.75" customHeight="1">
      <c r="A39" s="854" t="s">
        <v>154</v>
      </c>
      <c r="B39" s="798"/>
      <c r="C39" s="69"/>
      <c r="D39" s="55"/>
      <c r="E39" s="780"/>
      <c r="F39" s="780"/>
      <c r="G39" s="780"/>
      <c r="H39" s="773"/>
      <c r="I39" s="829"/>
      <c r="J39" s="1127" t="s">
        <v>25</v>
      </c>
      <c r="K39" s="1090" t="s">
        <v>903</v>
      </c>
      <c r="L39" s="1126" t="s">
        <v>372</v>
      </c>
      <c r="M39" s="1126" t="s">
        <v>33</v>
      </c>
      <c r="N39" s="1126" t="s">
        <v>33</v>
      </c>
      <c r="O39" s="1126" t="s">
        <v>32</v>
      </c>
      <c r="P39" s="1130"/>
      <c r="Q39" s="783"/>
      <c r="T39" s="1116" t="s">
        <v>913</v>
      </c>
      <c r="U39" s="1117" t="s">
        <v>914</v>
      </c>
      <c r="V39" s="1218">
        <v>1.5</v>
      </c>
      <c r="W39" s="1218">
        <v>1</v>
      </c>
      <c r="X39" s="1218">
        <v>1.5</v>
      </c>
      <c r="Y39" s="1218" t="s">
        <v>110</v>
      </c>
      <c r="Z39" s="1218" t="s">
        <v>110</v>
      </c>
      <c r="AA39" s="1218" t="s">
        <v>110</v>
      </c>
      <c r="AB39" s="1218" t="s">
        <v>110</v>
      </c>
      <c r="AC39" s="1218" t="s">
        <v>110</v>
      </c>
      <c r="AH39" s="57"/>
      <c r="AI39" s="240"/>
      <c r="AJ39" s="369"/>
      <c r="AK39" s="33"/>
      <c r="AL39" s="33"/>
      <c r="AO39" s="1407" t="s">
        <v>640</v>
      </c>
      <c r="AP39" s="1408"/>
      <c r="AQ39" s="1408"/>
      <c r="AR39" s="1408"/>
      <c r="AS39" s="1409"/>
      <c r="AT39" s="657">
        <v>2</v>
      </c>
      <c r="AU39" s="654" t="s">
        <v>637</v>
      </c>
      <c r="AV39" s="657">
        <v>2</v>
      </c>
      <c r="AW39" s="658" t="s">
        <v>110</v>
      </c>
      <c r="AX39" s="658" t="s">
        <v>110</v>
      </c>
      <c r="AY39" s="658" t="s">
        <v>110</v>
      </c>
      <c r="AZ39" s="658" t="s">
        <v>110</v>
      </c>
      <c r="BA39" s="658" t="s">
        <v>110</v>
      </c>
      <c r="CT39" s="753"/>
      <c r="CU39" s="753"/>
      <c r="CV39" s="753"/>
      <c r="CW39" s="753"/>
      <c r="CX39" s="753"/>
      <c r="CY39" s="753"/>
      <c r="CZ39" s="753"/>
      <c r="DA39" s="753"/>
      <c r="DB39" s="753"/>
      <c r="DC39" s="753"/>
      <c r="DD39" s="753"/>
      <c r="DE39" s="753"/>
      <c r="DF39" s="753"/>
      <c r="DG39" s="753"/>
      <c r="DH39" s="753"/>
      <c r="DI39" s="753"/>
      <c r="DJ39" s="753"/>
      <c r="DK39" s="753"/>
      <c r="DL39" s="753"/>
      <c r="DM39" s="753"/>
      <c r="DN39" s="753"/>
      <c r="DO39" s="753"/>
      <c r="DP39" s="753"/>
      <c r="DQ39" s="753"/>
      <c r="DR39" s="753"/>
      <c r="DS39" s="776"/>
      <c r="DT39" s="776"/>
    </row>
    <row r="40" spans="1:133" ht="12.75" customHeight="1">
      <c r="A40" s="857"/>
      <c r="B40" s="798" t="s">
        <v>915</v>
      </c>
      <c r="C40" s="107">
        <f>0.02</f>
        <v>0.02</v>
      </c>
      <c r="D40" s="81" t="s">
        <v>467</v>
      </c>
      <c r="E40" s="780"/>
      <c r="F40" s="780"/>
      <c r="G40" s="780"/>
      <c r="H40" s="773"/>
      <c r="I40" s="829"/>
      <c r="J40" s="1127" t="s">
        <v>25</v>
      </c>
      <c r="K40" s="1125" t="s">
        <v>905</v>
      </c>
      <c r="L40" s="1128" t="s">
        <v>373</v>
      </c>
      <c r="M40" s="1128" t="s">
        <v>32</v>
      </c>
      <c r="N40" s="1128" t="s">
        <v>32</v>
      </c>
      <c r="O40" s="1128" t="s">
        <v>32</v>
      </c>
      <c r="P40" s="1061" t="s">
        <v>147</v>
      </c>
      <c r="T40" s="1116" t="s">
        <v>916</v>
      </c>
      <c r="U40" s="1117" t="s">
        <v>917</v>
      </c>
      <c r="V40" s="1219">
        <v>8</v>
      </c>
      <c r="W40" s="1219">
        <v>3</v>
      </c>
      <c r="X40" s="1219">
        <v>5.5</v>
      </c>
      <c r="Y40" s="1219" t="s">
        <v>110</v>
      </c>
      <c r="Z40" s="1219" t="s">
        <v>110</v>
      </c>
      <c r="AA40" s="1219" t="s">
        <v>110</v>
      </c>
      <c r="AB40" s="1219" t="s">
        <v>110</v>
      </c>
      <c r="AC40" s="1219" t="s">
        <v>110</v>
      </c>
      <c r="AH40" s="57"/>
      <c r="AI40" s="240"/>
      <c r="AJ40" s="369"/>
      <c r="AK40" s="33"/>
      <c r="AL40" s="33"/>
      <c r="AO40" s="1407" t="s">
        <v>644</v>
      </c>
      <c r="AP40" s="1408"/>
      <c r="AQ40" s="1408"/>
      <c r="AR40" s="1408"/>
      <c r="AS40" s="1409"/>
      <c r="AT40" s="659">
        <v>3</v>
      </c>
      <c r="AU40" s="654" t="s">
        <v>637</v>
      </c>
      <c r="AV40" s="659">
        <v>2</v>
      </c>
      <c r="AW40" s="658" t="s">
        <v>110</v>
      </c>
      <c r="AX40" s="658" t="s">
        <v>110</v>
      </c>
      <c r="AY40" s="658" t="s">
        <v>110</v>
      </c>
      <c r="AZ40" s="658" t="s">
        <v>110</v>
      </c>
      <c r="BA40" s="658" t="s">
        <v>110</v>
      </c>
      <c r="CT40" s="753"/>
      <c r="CU40" s="753"/>
      <c r="CV40" s="753"/>
      <c r="CW40" s="753"/>
      <c r="CX40" s="753"/>
      <c r="CY40" s="753"/>
      <c r="CZ40" s="753"/>
      <c r="DA40" s="753"/>
      <c r="DB40" s="753"/>
      <c r="DC40" s="753"/>
      <c r="DD40" s="753"/>
      <c r="DE40" s="753"/>
      <c r="DF40" s="753"/>
      <c r="DG40" s="753"/>
      <c r="DH40" s="753"/>
      <c r="DI40" s="753"/>
      <c r="DJ40" s="753"/>
      <c r="DK40" s="753"/>
      <c r="DL40" s="753"/>
      <c r="DM40" s="753"/>
      <c r="DN40" s="753"/>
      <c r="DO40" s="753"/>
      <c r="DP40" s="753"/>
      <c r="DQ40" s="753"/>
      <c r="DR40" s="753"/>
      <c r="DS40" s="776"/>
      <c r="DT40" s="776"/>
    </row>
    <row r="41" spans="1:133" ht="12.75" customHeight="1">
      <c r="A41" s="857"/>
      <c r="B41" s="798" t="s">
        <v>119</v>
      </c>
      <c r="C41" s="118">
        <f>0.75</f>
        <v>0.75</v>
      </c>
      <c r="D41" s="81" t="s">
        <v>467</v>
      </c>
      <c r="E41" s="780"/>
      <c r="F41" s="780"/>
      <c r="G41" s="780"/>
      <c r="H41" s="780"/>
      <c r="I41" s="829"/>
      <c r="J41" s="1127" t="s">
        <v>25</v>
      </c>
      <c r="K41" s="1125" t="s">
        <v>907</v>
      </c>
      <c r="L41" s="1090" t="s">
        <v>56</v>
      </c>
      <c r="M41" s="1061" t="str">
        <f>IF(OR($M$23="III",$M$23="IV"),"",IF($C$32&lt;0.067,"A",IF(AND($C$32&gt;=0.067,$C$32&lt;0.133),"B",IF(AND($C$32&gt;=0.133,$C$32&lt;0.2),"C",IF(AND($C$32&gt;=0.2,$C$13&lt;0.75),"D",IF((AND($C$32&gt;=0.2,$C$13&gt;=0.75)),"E"))))))</f>
        <v>E</v>
      </c>
      <c r="N41" s="1061" t="str">
        <f>IF(OR($M$23="I",$M$23="II",$M$23="IV"),"",IF($C$32&lt;0.067,"A",IF(AND($C$32&gt;=0.067,$C$32&lt;0.133),"B",IF(AND($C$32&gt;=0.133,$C$32&lt;0.2),"C",IF(AND($C$32&gt;=0.2,$C$13&lt;0.75),"D",IF((AND($C$32&gt;=0.2,$C$13&gt;=0.75)),"E"))))))</f>
        <v/>
      </c>
      <c r="O41" s="1061" t="str">
        <f>IF(OR($M$23="I",$M$23="II",$M$23="III"),"",IF($C$32&lt;0.067,"A",IF(AND($C$32&gt;=0.067,$C$32&lt;0.133),"C",IF(AND($C$32&gt;=0.133,$C$32&lt;0.2),"D",IF(AND($C$32&gt;=0.2,$C$13&lt;0.75),"D",IF((AND($C$32&gt;=0.2,$C$13&gt;=0.75)),"F"))))))</f>
        <v/>
      </c>
      <c r="P41" s="1090">
        <f>IF($C$36="A",1,IF($C$36="B",2,IF($C$36="C",3,IF($C$36="D",4,IF($C$36="E",5,IF($C$36="F",6))))))</f>
        <v>5</v>
      </c>
      <c r="T41" s="1116" t="s">
        <v>918</v>
      </c>
      <c r="U41" s="1117" t="s">
        <v>919</v>
      </c>
      <c r="V41" s="1126">
        <v>8</v>
      </c>
      <c r="W41" s="1126">
        <v>3</v>
      </c>
      <c r="X41" s="1126">
        <v>5.5</v>
      </c>
      <c r="Y41" s="1126" t="s">
        <v>110</v>
      </c>
      <c r="Z41" s="1126" t="s">
        <v>110</v>
      </c>
      <c r="AA41" s="1126" t="s">
        <v>110</v>
      </c>
      <c r="AB41" s="1126" t="s">
        <v>110</v>
      </c>
      <c r="AC41" s="1193" t="s">
        <v>110</v>
      </c>
      <c r="AH41" s="100"/>
      <c r="AI41" s="33"/>
      <c r="AJ41" s="33"/>
      <c r="AK41" s="33"/>
      <c r="AL41" s="33"/>
      <c r="AO41" s="1407" t="s">
        <v>647</v>
      </c>
      <c r="AP41" s="1408"/>
      <c r="AQ41" s="1408"/>
      <c r="AR41" s="1408"/>
      <c r="AS41" s="1409"/>
      <c r="AT41" s="657">
        <v>2</v>
      </c>
      <c r="AU41" s="654" t="s">
        <v>637</v>
      </c>
      <c r="AV41" s="657">
        <v>2</v>
      </c>
      <c r="AW41" s="658" t="s">
        <v>110</v>
      </c>
      <c r="AX41" s="658" t="s">
        <v>110</v>
      </c>
      <c r="AY41" s="658" t="s">
        <v>110</v>
      </c>
      <c r="AZ41" s="658" t="s">
        <v>110</v>
      </c>
      <c r="BA41" s="658" t="s">
        <v>110</v>
      </c>
      <c r="CT41" s="753"/>
      <c r="CU41" s="753"/>
      <c r="CV41" s="753"/>
      <c r="CW41" s="753"/>
      <c r="CX41" s="753"/>
      <c r="CY41" s="753"/>
      <c r="CZ41" s="753"/>
      <c r="DA41" s="753"/>
      <c r="DB41" s="753"/>
      <c r="DC41" s="753"/>
      <c r="DD41" s="753"/>
      <c r="DE41" s="753"/>
      <c r="DF41" s="753"/>
      <c r="DG41" s="753"/>
      <c r="DH41" s="753"/>
      <c r="DI41" s="753"/>
      <c r="DJ41" s="753"/>
      <c r="DK41" s="753"/>
      <c r="DL41" s="753"/>
      <c r="DM41" s="753"/>
      <c r="DN41" s="753"/>
      <c r="DO41" s="753"/>
      <c r="DP41" s="753"/>
      <c r="DQ41" s="753"/>
      <c r="DR41" s="753"/>
      <c r="DS41" s="776"/>
      <c r="DT41" s="776"/>
    </row>
    <row r="42" spans="1:133" ht="12.75" customHeight="1">
      <c r="A42" s="857"/>
      <c r="B42" s="798" t="s">
        <v>920</v>
      </c>
      <c r="C42" s="133">
        <f>$C$40*$C$15^(0.75)</f>
        <v>0.13692650084046093</v>
      </c>
      <c r="D42" s="304" t="s">
        <v>468</v>
      </c>
      <c r="E42" s="780"/>
      <c r="F42" s="780"/>
      <c r="G42" s="833"/>
      <c r="H42" s="764"/>
      <c r="I42" s="829"/>
      <c r="J42" s="1127" t="s">
        <v>25</v>
      </c>
      <c r="K42" s="1125" t="s">
        <v>909</v>
      </c>
      <c r="N42" s="1090"/>
      <c r="O42" s="1104" t="s">
        <v>161</v>
      </c>
      <c r="P42" s="1090">
        <f>MAX($P$32,$P$41)</f>
        <v>5</v>
      </c>
      <c r="T42" s="1116" t="s">
        <v>921</v>
      </c>
      <c r="U42" s="1117" t="s">
        <v>922</v>
      </c>
      <c r="V42" s="1126">
        <v>4.5</v>
      </c>
      <c r="W42" s="1126">
        <v>3</v>
      </c>
      <c r="X42" s="1126">
        <v>4</v>
      </c>
      <c r="Y42" s="1126" t="s">
        <v>110</v>
      </c>
      <c r="Z42" s="1126" t="s">
        <v>110</v>
      </c>
      <c r="AA42" s="1126">
        <v>35</v>
      </c>
      <c r="AB42" s="1126" t="s">
        <v>112</v>
      </c>
      <c r="AC42" s="1193" t="s">
        <v>112</v>
      </c>
      <c r="AH42" s="57"/>
      <c r="AI42" s="240"/>
      <c r="AJ42" s="33"/>
      <c r="AK42" s="33"/>
      <c r="AL42" s="33"/>
      <c r="AO42" s="1413" t="s">
        <v>652</v>
      </c>
      <c r="AP42" s="1414"/>
      <c r="AQ42" s="1414"/>
      <c r="AR42" s="1414"/>
      <c r="AS42" s="1415"/>
      <c r="AT42" s="661">
        <v>3</v>
      </c>
      <c r="AU42" s="661" t="s">
        <v>633</v>
      </c>
      <c r="AV42" s="661">
        <v>2</v>
      </c>
      <c r="AW42" s="662" t="s">
        <v>110</v>
      </c>
      <c r="AX42" s="662" t="s">
        <v>110</v>
      </c>
      <c r="AY42" s="662" t="s">
        <v>110</v>
      </c>
      <c r="AZ42" s="662" t="s">
        <v>110</v>
      </c>
      <c r="BA42" s="662" t="s">
        <v>110</v>
      </c>
      <c r="CT42" s="753"/>
      <c r="CU42" s="753"/>
      <c r="CV42" s="753"/>
      <c r="CW42" s="753"/>
      <c r="CX42" s="753"/>
      <c r="CY42" s="753"/>
      <c r="CZ42" s="753"/>
      <c r="DA42" s="753"/>
      <c r="DB42" s="753"/>
      <c r="DC42" s="753"/>
      <c r="DD42" s="753"/>
      <c r="DE42" s="753"/>
      <c r="DF42" s="753"/>
      <c r="DG42" s="753"/>
      <c r="DH42" s="753"/>
      <c r="DI42" s="753"/>
      <c r="DJ42" s="753"/>
      <c r="DK42" s="753"/>
      <c r="DL42" s="753"/>
      <c r="DM42" s="753"/>
      <c r="DN42" s="753"/>
      <c r="DO42" s="753"/>
      <c r="DP42" s="753"/>
      <c r="DQ42" s="753"/>
      <c r="DR42" s="753"/>
      <c r="DS42" s="776"/>
      <c r="DT42" s="776"/>
    </row>
    <row r="43" spans="1:133" ht="12.75" customHeight="1">
      <c r="A43" s="857"/>
      <c r="B43" s="798" t="s">
        <v>923</v>
      </c>
      <c r="C43" s="133">
        <f>$O$56</f>
        <v>1.4</v>
      </c>
      <c r="D43" s="177" t="s">
        <v>469</v>
      </c>
      <c r="E43" s="780"/>
      <c r="F43" s="780"/>
      <c r="G43" s="780"/>
      <c r="H43" s="780"/>
      <c r="I43" s="829"/>
      <c r="J43" s="1127" t="s">
        <v>25</v>
      </c>
      <c r="K43" s="1125" t="s">
        <v>911</v>
      </c>
      <c r="N43" s="1090"/>
      <c r="O43" s="1104" t="s">
        <v>84</v>
      </c>
      <c r="P43" s="1090" t="str">
        <f>IF($P$42=1,"A",IF($P$42=2,"B",IF($P$42=3,"C",IF($P$42=4,"D",IF($P$42=5,"E",IF($P$42=6,"F"))))))</f>
        <v>E</v>
      </c>
      <c r="T43" s="1194" t="s">
        <v>924</v>
      </c>
      <c r="U43" s="1117" t="s">
        <v>925</v>
      </c>
      <c r="V43" s="1126">
        <v>2.5</v>
      </c>
      <c r="W43" s="1126">
        <v>2</v>
      </c>
      <c r="X43" s="1126">
        <v>2.5</v>
      </c>
      <c r="Y43" s="1126" t="s">
        <v>110</v>
      </c>
      <c r="Z43" s="1126" t="s">
        <v>110</v>
      </c>
      <c r="AA43" s="1126">
        <v>160</v>
      </c>
      <c r="AB43" s="1126">
        <v>160</v>
      </c>
      <c r="AC43" s="1193">
        <v>100</v>
      </c>
      <c r="AH43" s="57"/>
      <c r="AI43" s="240"/>
      <c r="AJ43" s="33"/>
      <c r="AK43" s="33"/>
      <c r="AL43" s="33"/>
      <c r="AO43" s="1416" t="s">
        <v>656</v>
      </c>
      <c r="AP43" s="1417"/>
      <c r="AQ43" s="1417"/>
      <c r="AR43" s="1417"/>
      <c r="AS43" s="1418"/>
      <c r="AT43" s="664">
        <v>3</v>
      </c>
      <c r="AU43" s="664">
        <v>2</v>
      </c>
      <c r="AV43" s="664">
        <v>2.5</v>
      </c>
      <c r="AW43" s="665" t="s">
        <v>110</v>
      </c>
      <c r="AX43" s="665" t="s">
        <v>110</v>
      </c>
      <c r="AY43" s="665" t="s">
        <v>110</v>
      </c>
      <c r="AZ43" s="665" t="s">
        <v>110</v>
      </c>
      <c r="BA43" s="665" t="s">
        <v>110</v>
      </c>
      <c r="CT43" s="753"/>
      <c r="CU43" s="753"/>
      <c r="CV43" s="753"/>
      <c r="CW43" s="753"/>
      <c r="CX43" s="753"/>
      <c r="CY43" s="753"/>
      <c r="CZ43" s="753"/>
      <c r="DA43" s="753"/>
      <c r="DB43" s="753"/>
      <c r="DC43" s="753"/>
      <c r="DD43" s="753"/>
      <c r="DE43" s="753"/>
      <c r="DF43" s="753"/>
      <c r="DG43" s="753"/>
      <c r="DH43" s="753"/>
      <c r="DI43" s="753"/>
      <c r="DJ43" s="753"/>
      <c r="DK43" s="753"/>
      <c r="DL43" s="753"/>
      <c r="DM43" s="753"/>
      <c r="DN43" s="753"/>
      <c r="DO43" s="753"/>
      <c r="DP43" s="753"/>
      <c r="DQ43" s="753"/>
      <c r="DR43" s="753"/>
      <c r="DS43" s="776"/>
      <c r="DT43" s="776"/>
    </row>
    <row r="44" spans="1:133" ht="12.75" customHeight="1">
      <c r="A44" s="857"/>
      <c r="B44" s="798" t="s">
        <v>926</v>
      </c>
      <c r="C44" s="133">
        <f>$C$43*$C$42</f>
        <v>0.19169710117664529</v>
      </c>
      <c r="D44" s="391" t="s">
        <v>470</v>
      </c>
      <c r="E44" s="780"/>
      <c r="F44" s="780"/>
      <c r="G44" s="780"/>
      <c r="H44" s="753"/>
      <c r="I44" s="834"/>
      <c r="J44" s="1127" t="s">
        <v>25</v>
      </c>
      <c r="K44" s="1125" t="s">
        <v>913</v>
      </c>
      <c r="T44" s="1195" t="s">
        <v>927</v>
      </c>
      <c r="U44" s="1117" t="s">
        <v>928</v>
      </c>
      <c r="V44" s="1126">
        <v>1.5</v>
      </c>
      <c r="W44" s="1126">
        <v>1</v>
      </c>
      <c r="X44" s="1126">
        <v>1.5</v>
      </c>
      <c r="Y44" s="1126" t="s">
        <v>110</v>
      </c>
      <c r="Z44" s="1126" t="s">
        <v>110</v>
      </c>
      <c r="AA44" s="1126" t="s">
        <v>110</v>
      </c>
      <c r="AB44" s="1126" t="s">
        <v>110</v>
      </c>
      <c r="AC44" s="1193" t="s">
        <v>110</v>
      </c>
      <c r="AO44" s="1410" t="s">
        <v>661</v>
      </c>
      <c r="AP44" s="1411"/>
      <c r="AQ44" s="1411"/>
      <c r="AR44" s="1411"/>
      <c r="AS44" s="1412"/>
      <c r="AT44" s="667">
        <v>6</v>
      </c>
      <c r="AU44" s="667">
        <v>2</v>
      </c>
      <c r="AV44" s="667">
        <v>5</v>
      </c>
      <c r="AW44" s="668" t="s">
        <v>110</v>
      </c>
      <c r="AX44" s="668" t="s">
        <v>110</v>
      </c>
      <c r="AY44" s="667">
        <v>160</v>
      </c>
      <c r="AZ44" s="667">
        <v>160</v>
      </c>
      <c r="BA44" s="667">
        <v>100</v>
      </c>
      <c r="CT44" s="753"/>
      <c r="CU44" s="753"/>
      <c r="CV44" s="753"/>
      <c r="CW44" s="753"/>
      <c r="CX44" s="753"/>
      <c r="CY44" s="753"/>
      <c r="CZ44" s="753"/>
      <c r="DA44" s="753"/>
      <c r="DB44" s="753"/>
      <c r="DC44" s="753"/>
      <c r="DD44" s="753"/>
      <c r="DE44" s="753"/>
      <c r="DF44" s="753"/>
      <c r="DG44" s="753"/>
      <c r="DH44" s="753"/>
      <c r="DI44" s="753"/>
      <c r="DJ44" s="753"/>
      <c r="DK44" s="753"/>
      <c r="DL44" s="753"/>
      <c r="DM44" s="753"/>
      <c r="DN44" s="753"/>
      <c r="DO44" s="753"/>
      <c r="DP44" s="753"/>
      <c r="DQ44" s="753"/>
      <c r="DR44" s="753"/>
      <c r="DS44" s="776"/>
      <c r="DT44" s="758"/>
      <c r="EC44" s="819"/>
    </row>
    <row r="45" spans="1:133" ht="12.75" customHeight="1">
      <c r="A45" s="857"/>
      <c r="B45" s="798" t="s">
        <v>216</v>
      </c>
      <c r="C45" s="133">
        <f>IF(OR($C$17=0,$C$17=""),MIN($C$42,$C$44),MIN($C$17,$C$44))</f>
        <v>0.13692650084046093</v>
      </c>
      <c r="E45" s="780"/>
      <c r="F45" s="753"/>
      <c r="G45" s="753"/>
      <c r="H45" s="780"/>
      <c r="I45" s="829"/>
      <c r="J45" s="1127" t="s">
        <v>25</v>
      </c>
      <c r="K45" s="1125" t="s">
        <v>916</v>
      </c>
      <c r="T45" s="1195" t="s">
        <v>929</v>
      </c>
      <c r="U45" s="1117" t="s">
        <v>930</v>
      </c>
      <c r="V45" s="1196">
        <v>5</v>
      </c>
      <c r="W45" s="1196">
        <v>3</v>
      </c>
      <c r="X45" s="1196">
        <v>4.5</v>
      </c>
      <c r="Y45" s="1196" t="s">
        <v>110</v>
      </c>
      <c r="Z45" s="1196" t="s">
        <v>110</v>
      </c>
      <c r="AA45" s="1196" t="s">
        <v>112</v>
      </c>
      <c r="AB45" s="1196" t="s">
        <v>112</v>
      </c>
      <c r="AC45" s="1197" t="s">
        <v>112</v>
      </c>
      <c r="AO45" s="1407" t="s">
        <v>663</v>
      </c>
      <c r="AP45" s="1408"/>
      <c r="AQ45" s="1408"/>
      <c r="AR45" s="1408"/>
      <c r="AS45" s="1409"/>
      <c r="AT45" s="669">
        <v>3.25</v>
      </c>
      <c r="AU45" s="669">
        <v>2</v>
      </c>
      <c r="AV45" s="669">
        <v>3.25</v>
      </c>
      <c r="AW45" s="670" t="s">
        <v>110</v>
      </c>
      <c r="AX45" s="670" t="s">
        <v>110</v>
      </c>
      <c r="AY45" s="669">
        <v>35</v>
      </c>
      <c r="AZ45" s="669">
        <v>35</v>
      </c>
      <c r="BA45" s="671" t="s">
        <v>112</v>
      </c>
      <c r="CT45" s="753"/>
      <c r="CU45" s="753"/>
      <c r="CV45" s="753"/>
      <c r="CW45" s="753"/>
      <c r="CX45" s="753"/>
      <c r="CY45" s="753"/>
      <c r="CZ45" s="753"/>
      <c r="DA45" s="753"/>
      <c r="DB45" s="753"/>
      <c r="DC45" s="753"/>
      <c r="DD45" s="753"/>
      <c r="DE45" s="753"/>
      <c r="DF45" s="753"/>
      <c r="DG45" s="753"/>
      <c r="DH45" s="753"/>
      <c r="DI45" s="753"/>
      <c r="DJ45" s="753"/>
      <c r="DK45" s="753"/>
      <c r="DL45" s="753"/>
      <c r="DM45" s="753"/>
      <c r="DN45" s="753"/>
      <c r="DO45" s="753"/>
      <c r="DP45" s="753"/>
      <c r="DQ45" s="753"/>
      <c r="DR45" s="753"/>
      <c r="DS45" s="776"/>
      <c r="DT45" s="758"/>
      <c r="EC45" s="819"/>
    </row>
    <row r="46" spans="1:133" ht="12.75" customHeight="1">
      <c r="A46" s="857"/>
      <c r="B46" s="798" t="s">
        <v>739</v>
      </c>
      <c r="C46" s="124" t="str">
        <f>IF($C$45&lt;0.06,"Rigid","Flexible")</f>
        <v>Flexible</v>
      </c>
      <c r="D46" s="38" t="s">
        <v>741</v>
      </c>
      <c r="E46" s="780"/>
      <c r="F46" s="780"/>
      <c r="G46" s="780"/>
      <c r="H46" s="780"/>
      <c r="I46" s="829"/>
      <c r="J46" s="1127" t="s">
        <v>25</v>
      </c>
      <c r="K46" s="1125" t="s">
        <v>918</v>
      </c>
      <c r="L46" s="111" t="s">
        <v>466</v>
      </c>
      <c r="M46" s="1112"/>
      <c r="N46" s="1112"/>
      <c r="O46" s="1114"/>
      <c r="T46" s="1195" t="s">
        <v>931</v>
      </c>
      <c r="U46" s="1117" t="s">
        <v>932</v>
      </c>
      <c r="V46" s="1196">
        <v>3</v>
      </c>
      <c r="W46" s="1196">
        <v>2</v>
      </c>
      <c r="X46" s="1196">
        <v>2.5</v>
      </c>
      <c r="Y46" s="1196" t="s">
        <v>110</v>
      </c>
      <c r="Z46" s="1196" t="s">
        <v>110</v>
      </c>
      <c r="AA46" s="1196">
        <v>50</v>
      </c>
      <c r="AB46" s="1196">
        <v>50</v>
      </c>
      <c r="AC46" s="1197">
        <v>50</v>
      </c>
      <c r="AO46" s="1407" t="s">
        <v>666</v>
      </c>
      <c r="AP46" s="1408"/>
      <c r="AQ46" s="1408"/>
      <c r="AR46" s="1408"/>
      <c r="AS46" s="1409"/>
      <c r="AT46" s="669">
        <v>2.5</v>
      </c>
      <c r="AU46" s="669">
        <v>2</v>
      </c>
      <c r="AV46" s="669">
        <v>2.5</v>
      </c>
      <c r="AW46" s="670" t="s">
        <v>110</v>
      </c>
      <c r="AX46" s="670" t="s">
        <v>110</v>
      </c>
      <c r="AY46" s="669">
        <v>160</v>
      </c>
      <c r="AZ46" s="669">
        <v>160</v>
      </c>
      <c r="BA46" s="669">
        <v>100</v>
      </c>
      <c r="CT46" s="753"/>
      <c r="CU46" s="753"/>
      <c r="CV46" s="753"/>
      <c r="CW46" s="753"/>
      <c r="CX46" s="753"/>
      <c r="CY46" s="753"/>
      <c r="CZ46" s="753"/>
      <c r="DA46" s="753"/>
      <c r="DB46" s="753"/>
      <c r="DC46" s="753"/>
      <c r="DD46" s="753"/>
      <c r="DE46" s="753"/>
      <c r="DF46" s="753"/>
      <c r="DG46" s="753"/>
      <c r="DH46" s="753"/>
      <c r="DI46" s="753"/>
      <c r="DJ46" s="753"/>
      <c r="DK46" s="753"/>
      <c r="DL46" s="753"/>
      <c r="DM46" s="753"/>
      <c r="DN46" s="753"/>
      <c r="DO46" s="753"/>
      <c r="DP46" s="753"/>
      <c r="DQ46" s="753"/>
      <c r="DR46" s="753"/>
      <c r="DS46" s="776"/>
      <c r="DT46" s="758"/>
      <c r="EC46" s="819"/>
    </row>
    <row r="47" spans="1:133" ht="12.75" customHeight="1">
      <c r="A47" s="857"/>
      <c r="B47" s="780"/>
      <c r="C47" s="89"/>
      <c r="D47" s="55"/>
      <c r="E47" s="780"/>
      <c r="F47" s="764"/>
      <c r="G47" s="833"/>
      <c r="H47" s="780"/>
      <c r="I47" s="829"/>
      <c r="J47" s="1127" t="s">
        <v>25</v>
      </c>
      <c r="K47" s="1125" t="s">
        <v>921</v>
      </c>
      <c r="L47" s="1188" t="s">
        <v>160</v>
      </c>
      <c r="M47" s="1112"/>
      <c r="N47" s="1112"/>
      <c r="O47" s="1114"/>
      <c r="S47" s="1063"/>
      <c r="T47" s="1198" t="s">
        <v>933</v>
      </c>
      <c r="U47" s="1117" t="s">
        <v>934</v>
      </c>
      <c r="V47" s="1196">
        <v>0.8</v>
      </c>
      <c r="W47" s="1196">
        <v>1</v>
      </c>
      <c r="X47" s="1196">
        <v>1</v>
      </c>
      <c r="Y47" s="1196" t="s">
        <v>110</v>
      </c>
      <c r="Z47" s="1196" t="s">
        <v>110</v>
      </c>
      <c r="AA47" s="1196" t="s">
        <v>110</v>
      </c>
      <c r="AB47" s="1196" t="s">
        <v>110</v>
      </c>
      <c r="AC47" s="1197" t="s">
        <v>110</v>
      </c>
      <c r="AO47" s="1407" t="s">
        <v>669</v>
      </c>
      <c r="AP47" s="1408"/>
      <c r="AQ47" s="1408"/>
      <c r="AR47" s="1408"/>
      <c r="AS47" s="1409"/>
      <c r="AT47" s="673">
        <v>1.5</v>
      </c>
      <c r="AU47" s="673">
        <v>1</v>
      </c>
      <c r="AV47" s="673">
        <v>1.5</v>
      </c>
      <c r="AW47" s="674" t="s">
        <v>110</v>
      </c>
      <c r="AX47" s="674" t="s">
        <v>110</v>
      </c>
      <c r="AY47" s="674" t="s">
        <v>110</v>
      </c>
      <c r="AZ47" s="674" t="s">
        <v>110</v>
      </c>
      <c r="BA47" s="674" t="s">
        <v>110</v>
      </c>
      <c r="CT47" s="753"/>
      <c r="CU47" s="753"/>
      <c r="CV47" s="753"/>
      <c r="CW47" s="753"/>
      <c r="CX47" s="753"/>
      <c r="CY47" s="753"/>
      <c r="CZ47" s="753"/>
      <c r="DA47" s="753"/>
      <c r="DB47" s="753"/>
      <c r="DC47" s="753"/>
      <c r="DD47" s="753"/>
      <c r="DE47" s="753"/>
      <c r="DF47" s="753"/>
      <c r="DG47" s="753"/>
      <c r="DH47" s="753"/>
      <c r="DI47" s="753"/>
      <c r="DJ47" s="753"/>
      <c r="DK47" s="753"/>
      <c r="DL47" s="753"/>
      <c r="DM47" s="753"/>
      <c r="DN47" s="753"/>
      <c r="DO47" s="753"/>
      <c r="DP47" s="753"/>
      <c r="DQ47" s="753"/>
      <c r="DR47" s="753"/>
      <c r="DS47" s="776"/>
      <c r="DT47" s="758"/>
      <c r="DX47" s="753"/>
      <c r="DY47" s="778"/>
      <c r="DZ47" s="770"/>
      <c r="EC47" s="819"/>
    </row>
    <row r="48" spans="1:133" ht="12.75" customHeight="1">
      <c r="A48" s="854" t="s">
        <v>141</v>
      </c>
      <c r="B48" s="753"/>
      <c r="C48" s="33"/>
      <c r="D48" s="20"/>
      <c r="E48" s="753"/>
      <c r="F48" s="764"/>
      <c r="G48" s="780"/>
      <c r="H48" s="780"/>
      <c r="I48" s="829"/>
      <c r="J48" s="1061"/>
      <c r="K48" s="1125" t="s">
        <v>924</v>
      </c>
      <c r="L48" s="1066" t="s">
        <v>217</v>
      </c>
      <c r="M48" s="1067"/>
      <c r="N48" s="1068"/>
      <c r="O48" s="1073" t="s">
        <v>218</v>
      </c>
      <c r="T48" s="1091" t="s">
        <v>935</v>
      </c>
      <c r="U48" s="1092" t="s">
        <v>936</v>
      </c>
      <c r="V48" s="1199">
        <v>3.5</v>
      </c>
      <c r="W48" s="1199">
        <v>3</v>
      </c>
      <c r="X48" s="1199">
        <v>3</v>
      </c>
      <c r="Y48" s="1199" t="s">
        <v>110</v>
      </c>
      <c r="Z48" s="1199" t="s">
        <v>110</v>
      </c>
      <c r="AA48" s="1199" t="s">
        <v>112</v>
      </c>
      <c r="AB48" s="1199" t="s">
        <v>112</v>
      </c>
      <c r="AC48" s="1199" t="s">
        <v>112</v>
      </c>
      <c r="AO48" s="1407" t="s">
        <v>673</v>
      </c>
      <c r="AP48" s="1408"/>
      <c r="AQ48" s="1408"/>
      <c r="AR48" s="1408"/>
      <c r="AS48" s="1409"/>
      <c r="AT48" s="676">
        <v>8</v>
      </c>
      <c r="AU48" s="676">
        <v>3</v>
      </c>
      <c r="AV48" s="676">
        <v>5.5</v>
      </c>
      <c r="AW48" s="677" t="s">
        <v>110</v>
      </c>
      <c r="AX48" s="677" t="s">
        <v>110</v>
      </c>
      <c r="AY48" s="677" t="s">
        <v>110</v>
      </c>
      <c r="AZ48" s="677" t="s">
        <v>110</v>
      </c>
      <c r="BA48" s="677" t="s">
        <v>110</v>
      </c>
      <c r="CT48" s="753"/>
      <c r="CU48" s="753"/>
      <c r="CV48" s="753"/>
      <c r="CW48" s="753"/>
      <c r="CX48" s="753"/>
      <c r="CY48" s="753"/>
      <c r="CZ48" s="753"/>
      <c r="DA48" s="753"/>
      <c r="DB48" s="753"/>
      <c r="DC48" s="753"/>
      <c r="DD48" s="753"/>
      <c r="DE48" s="753"/>
      <c r="DF48" s="753"/>
      <c r="DG48" s="753"/>
      <c r="DH48" s="753"/>
      <c r="DI48" s="753"/>
      <c r="DJ48" s="753"/>
      <c r="DK48" s="753"/>
      <c r="DL48" s="753"/>
      <c r="DM48" s="753"/>
      <c r="DN48" s="753"/>
      <c r="DO48" s="753"/>
      <c r="DP48" s="753"/>
      <c r="DQ48" s="753"/>
      <c r="DR48" s="753"/>
      <c r="DS48" s="776"/>
      <c r="DT48" s="758"/>
      <c r="DX48" s="753"/>
      <c r="DY48" s="778"/>
      <c r="DZ48" s="770"/>
      <c r="EC48" s="819"/>
    </row>
    <row r="49" spans="1:133" ht="12.75" customHeight="1">
      <c r="A49" s="857"/>
      <c r="B49" s="798" t="s">
        <v>140</v>
      </c>
      <c r="C49" s="116">
        <f>IF($C$37="N.A.","N.A.",VLOOKUP($C$18,$T$7:$AC$76,3, FALSE))</f>
        <v>3.5</v>
      </c>
      <c r="D49" s="38" t="str">
        <f>"ASCE 7-10 "&amp;IF(VALUE(LEFT($C$18,2))&lt;=3,"Table 15.4-1, page 141","Table 15.4-2, page 142 &amp; 143")</f>
        <v>ASCE 7-10 Table 15.4-2, page 142 &amp; 143</v>
      </c>
      <c r="E49" s="798"/>
      <c r="F49" s="799"/>
      <c r="G49" s="780"/>
      <c r="H49" s="780"/>
      <c r="I49" s="836"/>
      <c r="J49" s="1061"/>
      <c r="K49" s="1125" t="s">
        <v>927</v>
      </c>
      <c r="L49" s="1069" t="s">
        <v>2</v>
      </c>
      <c r="M49" s="1070"/>
      <c r="N49" s="1071"/>
      <c r="O49" s="1119" t="s">
        <v>219</v>
      </c>
      <c r="T49" s="1200" t="s">
        <v>937</v>
      </c>
      <c r="U49" s="1092" t="s">
        <v>938</v>
      </c>
      <c r="V49" s="1201">
        <v>2.5</v>
      </c>
      <c r="W49" s="1201">
        <v>2</v>
      </c>
      <c r="X49" s="1201">
        <v>2.5</v>
      </c>
      <c r="Y49" s="1201" t="s">
        <v>110</v>
      </c>
      <c r="Z49" s="1201" t="s">
        <v>110</v>
      </c>
      <c r="AA49" s="1201">
        <v>100</v>
      </c>
      <c r="AB49" s="1201">
        <v>100</v>
      </c>
      <c r="AC49" s="1201" t="s">
        <v>112</v>
      </c>
      <c r="AO49" s="1407" t="s">
        <v>676</v>
      </c>
      <c r="AP49" s="1408"/>
      <c r="AQ49" s="1408"/>
      <c r="AR49" s="1408"/>
      <c r="AS49" s="1409"/>
      <c r="AT49" s="669">
        <v>8</v>
      </c>
      <c r="AU49" s="669">
        <v>3</v>
      </c>
      <c r="AV49" s="669">
        <v>5.5</v>
      </c>
      <c r="AW49" s="670" t="s">
        <v>110</v>
      </c>
      <c r="AX49" s="670" t="s">
        <v>110</v>
      </c>
      <c r="AY49" s="670" t="s">
        <v>110</v>
      </c>
      <c r="AZ49" s="670" t="s">
        <v>110</v>
      </c>
      <c r="BA49" s="681" t="s">
        <v>110</v>
      </c>
      <c r="CT49" s="753"/>
      <c r="CU49" s="753"/>
      <c r="CV49" s="753"/>
      <c r="CW49" s="753"/>
      <c r="CX49" s="753"/>
      <c r="CY49" s="753"/>
      <c r="CZ49" s="753"/>
      <c r="DA49" s="753"/>
      <c r="DB49" s="753"/>
      <c r="DC49" s="753"/>
      <c r="DD49" s="753"/>
      <c r="DE49" s="753"/>
      <c r="DF49" s="753"/>
      <c r="DG49" s="753"/>
      <c r="DH49" s="753"/>
      <c r="DI49" s="753"/>
      <c r="DJ49" s="753"/>
      <c r="DK49" s="753"/>
      <c r="DL49" s="753"/>
      <c r="DM49" s="753"/>
      <c r="DN49" s="753"/>
      <c r="DO49" s="753"/>
      <c r="DP49" s="753"/>
      <c r="DQ49" s="753"/>
      <c r="DR49" s="753"/>
      <c r="DS49" s="776"/>
      <c r="DT49" s="758"/>
      <c r="DX49" s="753"/>
      <c r="DY49" s="778"/>
      <c r="DZ49" s="770"/>
      <c r="EC49" s="819"/>
    </row>
    <row r="50" spans="1:133" ht="12.75" customHeight="1">
      <c r="A50" s="857"/>
      <c r="B50" s="798" t="s">
        <v>746</v>
      </c>
      <c r="C50" s="118">
        <f>IF($C$37="N.A.","N.A.",VLOOKUP($C$18,$T$7:$AC$76,4, FALSE))</f>
        <v>1.75</v>
      </c>
      <c r="D50" s="38" t="str">
        <f>"ASCE 7-10 "&amp;IF(VALUE(LEFT($C$18,2))&lt;=3,"Table 15.4-1, page 141","Table 15.4-2, page 142 &amp; 143")</f>
        <v>ASCE 7-10 Table 15.4-2, page 142 &amp; 143</v>
      </c>
      <c r="E50" s="780"/>
      <c r="F50" s="780"/>
      <c r="G50" s="780"/>
      <c r="H50" s="780"/>
      <c r="I50" s="829"/>
      <c r="J50" s="1061"/>
      <c r="K50" s="1125" t="s">
        <v>929</v>
      </c>
      <c r="L50" s="1220" t="s">
        <v>1</v>
      </c>
      <c r="M50" s="1221"/>
      <c r="N50" s="1222"/>
      <c r="O50" s="1123">
        <v>1.4</v>
      </c>
      <c r="T50" s="1195" t="s">
        <v>939</v>
      </c>
      <c r="U50" s="1092" t="s">
        <v>940</v>
      </c>
      <c r="V50" s="1202">
        <v>1</v>
      </c>
      <c r="W50" s="1202">
        <v>1</v>
      </c>
      <c r="X50" s="1202">
        <v>1</v>
      </c>
      <c r="Y50" s="1202" t="s">
        <v>110</v>
      </c>
      <c r="Z50" s="1202" t="s">
        <v>110</v>
      </c>
      <c r="AA50" s="1202" t="s">
        <v>110</v>
      </c>
      <c r="AB50" s="1202" t="s">
        <v>110</v>
      </c>
      <c r="AC50" s="1202" t="s">
        <v>110</v>
      </c>
      <c r="AO50" s="1407" t="s">
        <v>679</v>
      </c>
      <c r="AP50" s="1408"/>
      <c r="AQ50" s="1408"/>
      <c r="AR50" s="1408"/>
      <c r="AS50" s="1409"/>
      <c r="AT50" s="669">
        <v>4.5</v>
      </c>
      <c r="AU50" s="669">
        <v>3</v>
      </c>
      <c r="AV50" s="669">
        <v>4</v>
      </c>
      <c r="AW50" s="670" t="s">
        <v>110</v>
      </c>
      <c r="AX50" s="670" t="s">
        <v>110</v>
      </c>
      <c r="AY50" s="669">
        <v>35</v>
      </c>
      <c r="AZ50" s="671" t="s">
        <v>112</v>
      </c>
      <c r="BA50" s="683" t="s">
        <v>112</v>
      </c>
      <c r="CT50" s="753"/>
      <c r="CU50" s="753"/>
      <c r="CV50" s="753"/>
      <c r="CW50" s="753"/>
      <c r="CX50" s="753"/>
      <c r="CY50" s="753"/>
      <c r="CZ50" s="753"/>
      <c r="DA50" s="753"/>
      <c r="DB50" s="753"/>
      <c r="DC50" s="753"/>
      <c r="DD50" s="753"/>
      <c r="DE50" s="753"/>
      <c r="DF50" s="753"/>
      <c r="DG50" s="753"/>
      <c r="DH50" s="753"/>
      <c r="DI50" s="753"/>
      <c r="DJ50" s="753"/>
      <c r="DK50" s="753"/>
      <c r="DL50" s="753"/>
      <c r="DM50" s="753"/>
      <c r="DN50" s="753"/>
      <c r="DO50" s="753"/>
      <c r="DP50" s="753"/>
      <c r="DQ50" s="753"/>
      <c r="DR50" s="753"/>
      <c r="DS50" s="776"/>
      <c r="DT50" s="758"/>
      <c r="DX50" s="753"/>
      <c r="DY50" s="778"/>
      <c r="DZ50" s="770"/>
      <c r="EC50" s="819"/>
    </row>
    <row r="51" spans="1:133" ht="12.75" customHeight="1">
      <c r="A51" s="857"/>
      <c r="B51" s="798" t="s">
        <v>747</v>
      </c>
      <c r="C51" s="118">
        <f>IF($C$37="N.A.","N.A.",VLOOKUP($C$18,$T$7:$AC$76,5, FALSE))</f>
        <v>3</v>
      </c>
      <c r="D51" s="38" t="str">
        <f>"ASCE 7-10 "&amp;IF(VALUE(LEFT($C$18,2))&lt;=3,"Table 15.4-1, page 141","Table 15.4-2, page 142 &amp; 143")</f>
        <v>ASCE 7-10 Table 15.4-2, page 142 &amp; 143</v>
      </c>
      <c r="E51" s="780"/>
      <c r="F51" s="780"/>
      <c r="G51" s="780"/>
      <c r="H51" s="780"/>
      <c r="I51" s="829"/>
      <c r="K51" s="1125" t="s">
        <v>931</v>
      </c>
      <c r="L51" s="1223">
        <v>0.3</v>
      </c>
      <c r="M51" s="1224"/>
      <c r="N51" s="1225"/>
      <c r="O51" s="1126">
        <v>1.4</v>
      </c>
      <c r="T51" s="1203" t="s">
        <v>941</v>
      </c>
      <c r="U51" s="1092" t="s">
        <v>942</v>
      </c>
      <c r="V51" s="1201">
        <v>3</v>
      </c>
      <c r="W51" s="1201">
        <v>3</v>
      </c>
      <c r="X51" s="1201">
        <v>2.5</v>
      </c>
      <c r="Y51" s="1201" t="s">
        <v>110</v>
      </c>
      <c r="Z51" s="1201" t="s">
        <v>112</v>
      </c>
      <c r="AA51" s="1201" t="s">
        <v>112</v>
      </c>
      <c r="AB51" s="1201" t="s">
        <v>112</v>
      </c>
      <c r="AC51" s="1201" t="s">
        <v>112</v>
      </c>
      <c r="AO51" s="1407" t="s">
        <v>684</v>
      </c>
      <c r="AP51" s="1408"/>
      <c r="AQ51" s="1408"/>
      <c r="AR51" s="1408"/>
      <c r="AS51" s="1409"/>
      <c r="AT51" s="669">
        <v>2.5</v>
      </c>
      <c r="AU51" s="669">
        <v>2</v>
      </c>
      <c r="AV51" s="669">
        <v>2.5</v>
      </c>
      <c r="AW51" s="670" t="s">
        <v>110</v>
      </c>
      <c r="AX51" s="670" t="s">
        <v>110</v>
      </c>
      <c r="AY51" s="669">
        <v>160</v>
      </c>
      <c r="AZ51" s="669">
        <v>160</v>
      </c>
      <c r="BA51" s="684">
        <v>100</v>
      </c>
      <c r="DX51" s="753"/>
      <c r="DY51" s="778"/>
      <c r="DZ51" s="770"/>
      <c r="EC51" s="819"/>
    </row>
    <row r="52" spans="1:133" ht="12.75" customHeight="1">
      <c r="A52" s="857"/>
      <c r="B52" s="798" t="s">
        <v>756</v>
      </c>
      <c r="C52" s="133">
        <f>IF($C$37="N.A.","N.A.",$C$31/($C$49/$C$9))</f>
        <v>0.46857142857142853</v>
      </c>
      <c r="D52" s="177" t="s">
        <v>472</v>
      </c>
      <c r="E52" s="798"/>
      <c r="F52" s="799"/>
      <c r="G52" s="780"/>
      <c r="H52" s="780"/>
      <c r="I52" s="829"/>
      <c r="K52" s="1125" t="s">
        <v>933</v>
      </c>
      <c r="L52" s="1223">
        <v>0.2</v>
      </c>
      <c r="M52" s="1224"/>
      <c r="N52" s="1225"/>
      <c r="O52" s="1126">
        <v>1.5</v>
      </c>
      <c r="T52" s="1205" t="s">
        <v>943</v>
      </c>
      <c r="U52" s="1095" t="s">
        <v>944</v>
      </c>
      <c r="V52" s="1206">
        <v>0.8</v>
      </c>
      <c r="W52" s="1206">
        <v>1</v>
      </c>
      <c r="X52" s="1206">
        <v>1</v>
      </c>
      <c r="Y52" s="1206" t="s">
        <v>110</v>
      </c>
      <c r="Z52" s="1206" t="s">
        <v>110</v>
      </c>
      <c r="AA52" s="1206">
        <v>50</v>
      </c>
      <c r="AB52" s="1206">
        <v>50</v>
      </c>
      <c r="AC52" s="1206">
        <v>50</v>
      </c>
      <c r="AO52" s="1407" t="s">
        <v>687</v>
      </c>
      <c r="AP52" s="1408"/>
      <c r="AQ52" s="1408"/>
      <c r="AR52" s="1408"/>
      <c r="AS52" s="1409"/>
      <c r="AT52" s="669">
        <v>1.5</v>
      </c>
      <c r="AU52" s="669">
        <v>1</v>
      </c>
      <c r="AV52" s="669">
        <v>1.5</v>
      </c>
      <c r="AW52" s="670" t="s">
        <v>110</v>
      </c>
      <c r="AX52" s="670" t="s">
        <v>110</v>
      </c>
      <c r="AY52" s="670" t="s">
        <v>110</v>
      </c>
      <c r="AZ52" s="670" t="s">
        <v>110</v>
      </c>
      <c r="BA52" s="681" t="s">
        <v>110</v>
      </c>
      <c r="DX52" s="753"/>
      <c r="DY52" s="778"/>
      <c r="DZ52" s="770"/>
      <c r="EC52" s="819"/>
    </row>
    <row r="53" spans="1:133" ht="12.75" customHeight="1">
      <c r="A53" s="854"/>
      <c r="B53" s="798" t="s">
        <v>758</v>
      </c>
      <c r="C53" s="131">
        <f>IF($C$37="N.A.","N.A.",IF($C$45&lt;=$C$14,$C$32/($C$45*($C$49/$C$9)),$C$32*$C$14/($C$45^2*($C$49/$C$9))))</f>
        <v>1.8654429190897275</v>
      </c>
      <c r="D53" s="177" t="str">
        <f>IF($C$69&lt;=$C$14,"For T&lt;=TL, CS(max) = SD1/(T*(R/I)), ASCE 7-10 Eqn. 12.8-3","For T&gt;TL, CS(max) = SD1*TL/(T^2*(R/I)), ASCE 7-10 Eqn. 12.8-4")</f>
        <v>For T&lt;=TL, CS(max) = SD1/(T*(R/I)), ASCE 7-10 Eqn. 12.8-3</v>
      </c>
      <c r="E53" s="798"/>
      <c r="F53" s="842"/>
      <c r="G53" s="837"/>
      <c r="H53" s="801"/>
      <c r="I53" s="843"/>
      <c r="J53" s="1061"/>
      <c r="K53" s="1125" t="s">
        <v>935</v>
      </c>
      <c r="L53" s="1223">
        <v>0.15</v>
      </c>
      <c r="M53" s="1224"/>
      <c r="N53" s="1225"/>
      <c r="O53" s="1126">
        <v>1.6</v>
      </c>
      <c r="T53" s="1226" t="s">
        <v>868</v>
      </c>
      <c r="U53" s="1227" t="s">
        <v>635</v>
      </c>
      <c r="V53" s="1228">
        <v>3</v>
      </c>
      <c r="W53" s="1228">
        <v>2</v>
      </c>
      <c r="X53" s="1228">
        <v>2.5</v>
      </c>
      <c r="Y53" s="1228" t="s">
        <v>110</v>
      </c>
      <c r="Z53" s="1228" t="s">
        <v>110</v>
      </c>
      <c r="AA53" s="1228" t="s">
        <v>110</v>
      </c>
      <c r="AB53" s="1228" t="s">
        <v>110</v>
      </c>
      <c r="AC53" s="1228" t="s">
        <v>110</v>
      </c>
      <c r="AF53" s="1061"/>
      <c r="AO53" s="1407" t="s">
        <v>945</v>
      </c>
      <c r="AP53" s="1408"/>
      <c r="AQ53" s="1408"/>
      <c r="AR53" s="1408"/>
      <c r="AS53" s="1409"/>
      <c r="AT53" s="596">
        <v>5</v>
      </c>
      <c r="AU53" s="596">
        <v>3</v>
      </c>
      <c r="AV53" s="596">
        <v>4.5</v>
      </c>
      <c r="AW53" s="594" t="s">
        <v>110</v>
      </c>
      <c r="AX53" s="594" t="s">
        <v>110</v>
      </c>
      <c r="AY53" s="595" t="s">
        <v>112</v>
      </c>
      <c r="AZ53" s="595" t="s">
        <v>112</v>
      </c>
      <c r="BA53" s="685" t="s">
        <v>112</v>
      </c>
      <c r="CT53" s="753"/>
      <c r="CU53" s="753"/>
      <c r="CV53" s="753"/>
      <c r="CW53" s="753"/>
      <c r="CX53" s="753"/>
      <c r="CY53" s="753"/>
      <c r="CZ53" s="753"/>
      <c r="DA53" s="753"/>
      <c r="DB53" s="753"/>
      <c r="DC53" s="753"/>
      <c r="DD53" s="753"/>
      <c r="DE53" s="753"/>
      <c r="DF53" s="753"/>
      <c r="DG53" s="753"/>
      <c r="DH53" s="753"/>
      <c r="DI53" s="753"/>
      <c r="DJ53" s="753"/>
      <c r="DK53" s="753"/>
      <c r="DL53" s="753"/>
      <c r="DM53" s="753"/>
      <c r="DN53" s="753"/>
      <c r="DO53" s="753"/>
      <c r="DP53" s="753"/>
      <c r="DQ53" s="753"/>
      <c r="DR53" s="753"/>
      <c r="DS53" s="776"/>
      <c r="DT53" s="758"/>
      <c r="DX53" s="753"/>
      <c r="DY53" s="778"/>
      <c r="DZ53" s="770"/>
      <c r="EC53" s="819"/>
    </row>
    <row r="54" spans="1:133" ht="12.75" customHeight="1">
      <c r="A54" s="857"/>
      <c r="B54" s="798" t="s">
        <v>759</v>
      </c>
      <c r="C54" s="133">
        <f>IF($C$37="N.A.","N.A.",IF($C$13&gt;=0.6,0.8*$C$13/($C$49/$C$9),MAX(0.044*$C$31*$C$9,0.03)))</f>
        <v>0.20434285714285716</v>
      </c>
      <c r="D54" s="177" t="str">
        <f>IF($C$13&lt;0.6,"CS(min) = 0.044*SDS*I &gt;= 0.03, ASCE 7-10 Eqn. 15.4-1","CS(min) = 0.8*S1/(R/I), ASCE 7-10 Eqn. 15.4-2")</f>
        <v>CS(min) = 0.8*S1/(R/I), ASCE 7-10 Eqn. 15.4-2</v>
      </c>
      <c r="E54" s="780"/>
      <c r="F54" s="780"/>
      <c r="G54" s="780"/>
      <c r="H54" s="780"/>
      <c r="I54" s="829"/>
      <c r="J54" s="1061"/>
      <c r="K54" s="1125" t="s">
        <v>937</v>
      </c>
      <c r="L54" s="1229" t="s">
        <v>234</v>
      </c>
      <c r="M54" s="1230"/>
      <c r="N54" s="1231"/>
      <c r="O54" s="1128">
        <v>1.7</v>
      </c>
      <c r="T54" s="1232" t="s">
        <v>946</v>
      </c>
      <c r="U54" s="1233" t="s">
        <v>639</v>
      </c>
      <c r="V54" s="1234">
        <v>2.5</v>
      </c>
      <c r="W54" s="1234">
        <v>2</v>
      </c>
      <c r="X54" s="1234">
        <v>2</v>
      </c>
      <c r="Y54" s="1234" t="s">
        <v>110</v>
      </c>
      <c r="Z54" s="1234" t="s">
        <v>110</v>
      </c>
      <c r="AA54" s="1234" t="s">
        <v>110</v>
      </c>
      <c r="AB54" s="1234" t="s">
        <v>110</v>
      </c>
      <c r="AC54" s="1234" t="s">
        <v>110</v>
      </c>
      <c r="AD54" s="1088"/>
      <c r="AE54" s="1088"/>
      <c r="AF54" s="1061"/>
      <c r="AH54" s="44"/>
      <c r="AI54" s="110"/>
      <c r="AO54" s="1407" t="s">
        <v>693</v>
      </c>
      <c r="AP54" s="1408"/>
      <c r="AQ54" s="1408"/>
      <c r="AR54" s="1408"/>
      <c r="AS54" s="1409"/>
      <c r="AT54" s="596">
        <v>3</v>
      </c>
      <c r="AU54" s="596">
        <v>2</v>
      </c>
      <c r="AV54" s="596">
        <v>2.5</v>
      </c>
      <c r="AW54" s="594" t="s">
        <v>110</v>
      </c>
      <c r="AX54" s="594" t="s">
        <v>110</v>
      </c>
      <c r="AY54" s="596">
        <v>50</v>
      </c>
      <c r="AZ54" s="596">
        <v>50</v>
      </c>
      <c r="BA54" s="687">
        <v>50</v>
      </c>
      <c r="CT54" s="753"/>
      <c r="CU54" s="753"/>
      <c r="CV54" s="753"/>
      <c r="CW54" s="753"/>
      <c r="CX54" s="753"/>
      <c r="CY54" s="753"/>
      <c r="CZ54" s="753"/>
      <c r="DA54" s="753"/>
      <c r="DB54" s="753"/>
      <c r="DC54" s="753"/>
      <c r="DD54" s="753"/>
      <c r="DE54" s="753"/>
      <c r="DF54" s="753"/>
      <c r="DG54" s="753"/>
      <c r="DH54" s="753"/>
      <c r="DI54" s="753"/>
      <c r="DJ54" s="753"/>
      <c r="DK54" s="753"/>
      <c r="DL54" s="753"/>
      <c r="DM54" s="753"/>
      <c r="DN54" s="753"/>
      <c r="DO54" s="753"/>
      <c r="DP54" s="753"/>
      <c r="DQ54" s="753"/>
      <c r="DR54" s="753"/>
      <c r="DS54" s="776"/>
      <c r="DT54" s="758"/>
      <c r="DX54" s="753"/>
      <c r="DY54" s="778"/>
      <c r="DZ54" s="770"/>
      <c r="EC54" s="819"/>
    </row>
    <row r="55" spans="1:133" ht="12.75" customHeight="1">
      <c r="A55" s="857"/>
      <c r="B55" s="798" t="s">
        <v>82</v>
      </c>
      <c r="C55" s="109">
        <f>IF($C$37="N.A.","N.A.",IF(AND($C$54&lt;$C$52,$C$52&lt;$C$53),$C$52,IF($C$52&lt;$C$54,$C$54, IF($C$54&gt;=$C$53,$C$54,$C$53))))</f>
        <v>0.46857142857142853</v>
      </c>
      <c r="D55" s="55" t="s">
        <v>83</v>
      </c>
      <c r="E55" s="798"/>
      <c r="F55" s="753"/>
      <c r="G55" s="753"/>
      <c r="H55" s="753"/>
      <c r="I55" s="834"/>
      <c r="J55" s="1061"/>
      <c r="K55" s="1090" t="s">
        <v>939</v>
      </c>
      <c r="T55" s="1195" t="s">
        <v>947</v>
      </c>
      <c r="U55" s="1233" t="s">
        <v>643</v>
      </c>
      <c r="V55" s="1202">
        <v>2</v>
      </c>
      <c r="W55" s="1202">
        <v>2</v>
      </c>
      <c r="X55" s="1202">
        <v>2</v>
      </c>
      <c r="Y55" s="1202" t="s">
        <v>110</v>
      </c>
      <c r="Z55" s="1202" t="s">
        <v>110</v>
      </c>
      <c r="AA55" s="1202" t="s">
        <v>110</v>
      </c>
      <c r="AB55" s="1202" t="s">
        <v>110</v>
      </c>
      <c r="AC55" s="1202" t="s">
        <v>110</v>
      </c>
      <c r="AD55" s="1110"/>
      <c r="AE55" s="1110"/>
      <c r="AO55" s="1407" t="s">
        <v>697</v>
      </c>
      <c r="AP55" s="1408"/>
      <c r="AQ55" s="1408"/>
      <c r="AR55" s="1408"/>
      <c r="AS55" s="1409"/>
      <c r="AT55" s="596">
        <v>0.8</v>
      </c>
      <c r="AU55" s="596">
        <v>1</v>
      </c>
      <c r="AV55" s="596">
        <v>1</v>
      </c>
      <c r="AW55" s="594" t="s">
        <v>110</v>
      </c>
      <c r="AX55" s="594" t="s">
        <v>110</v>
      </c>
      <c r="AY55" s="594" t="s">
        <v>110</v>
      </c>
      <c r="AZ55" s="594" t="s">
        <v>110</v>
      </c>
      <c r="BA55" s="611" t="s">
        <v>110</v>
      </c>
      <c r="CT55" s="753"/>
      <c r="CU55" s="753"/>
      <c r="CV55" s="753"/>
      <c r="CW55" s="753"/>
      <c r="CX55" s="753"/>
      <c r="CY55" s="753"/>
      <c r="CZ55" s="753"/>
      <c r="DA55" s="753"/>
      <c r="DB55" s="753"/>
      <c r="DC55" s="753"/>
      <c r="DD55" s="753"/>
      <c r="DE55" s="753"/>
      <c r="DF55" s="753"/>
      <c r="DG55" s="753"/>
      <c r="DH55" s="753"/>
      <c r="DI55" s="753"/>
      <c r="DJ55" s="753"/>
      <c r="DK55" s="753"/>
      <c r="DL55" s="753"/>
      <c r="DM55" s="753"/>
      <c r="DN55" s="753"/>
      <c r="DO55" s="753"/>
      <c r="DP55" s="753"/>
      <c r="DQ55" s="753"/>
      <c r="DR55" s="753"/>
      <c r="DS55" s="776"/>
      <c r="DT55" s="758"/>
      <c r="DX55" s="753"/>
      <c r="DY55" s="778"/>
      <c r="DZ55" s="770"/>
      <c r="EC55" s="819"/>
    </row>
    <row r="56" spans="1:133" ht="12.75" customHeight="1">
      <c r="A56" s="857"/>
      <c r="B56" s="780"/>
      <c r="C56" s="89"/>
      <c r="D56" s="55"/>
      <c r="E56" s="780"/>
      <c r="F56" s="780"/>
      <c r="G56" s="780"/>
      <c r="H56" s="780"/>
      <c r="I56" s="829"/>
      <c r="J56" s="1061"/>
      <c r="K56" s="1090" t="s">
        <v>941</v>
      </c>
      <c r="N56" s="1104" t="s">
        <v>220</v>
      </c>
      <c r="O56" s="1087">
        <f>IF($C$32&gt;0.4,1.4,IF($C$32&gt;=0.3,1.4,IF($C$32&gt;=0.2,(1.4-1.5)*($C$32-0.3)/(0.3-0.2)+1.4,IF($C$32&gt;=0.15,(1.5-1.6)*($C$32-0.2)/(0.2-0.15)+1.5,IF($C$32&gt;0.1,(1.6-1.7)*($C$32-0.15)/(0.15-0.1)+1.6,1.7)   ))))</f>
        <v>1.4</v>
      </c>
      <c r="T56" s="1195" t="s">
        <v>948</v>
      </c>
      <c r="U56" s="1233" t="s">
        <v>646</v>
      </c>
      <c r="V56" s="1202">
        <v>3.25</v>
      </c>
      <c r="W56" s="1202">
        <v>2</v>
      </c>
      <c r="X56" s="1202">
        <v>2</v>
      </c>
      <c r="Y56" s="1202" t="s">
        <v>110</v>
      </c>
      <c r="Z56" s="1202" t="s">
        <v>110</v>
      </c>
      <c r="AA56" s="1202" t="s">
        <v>110</v>
      </c>
      <c r="AB56" s="1202" t="s">
        <v>110</v>
      </c>
      <c r="AC56" s="1202" t="s">
        <v>110</v>
      </c>
      <c r="AF56" s="1088"/>
      <c r="AO56" s="1407" t="s">
        <v>700</v>
      </c>
      <c r="AP56" s="1408"/>
      <c r="AQ56" s="1408"/>
      <c r="AR56" s="1408"/>
      <c r="AS56" s="1409"/>
      <c r="AT56" s="689">
        <v>3.5</v>
      </c>
      <c r="AU56" s="689">
        <v>3</v>
      </c>
      <c r="AV56" s="689">
        <v>3</v>
      </c>
      <c r="AW56" s="690" t="s">
        <v>110</v>
      </c>
      <c r="AX56" s="690" t="s">
        <v>110</v>
      </c>
      <c r="AY56" s="691" t="s">
        <v>112</v>
      </c>
      <c r="AZ56" s="691" t="s">
        <v>112</v>
      </c>
      <c r="BA56" s="691" t="s">
        <v>112</v>
      </c>
      <c r="CT56" s="753"/>
      <c r="CU56" s="753"/>
      <c r="CV56" s="753"/>
      <c r="CW56" s="753"/>
      <c r="CX56" s="753"/>
      <c r="CY56" s="753"/>
      <c r="CZ56" s="753"/>
      <c r="DA56" s="753"/>
      <c r="DB56" s="753"/>
      <c r="DC56" s="753"/>
      <c r="DD56" s="753"/>
      <c r="DE56" s="753"/>
      <c r="DF56" s="753"/>
      <c r="DG56" s="753"/>
      <c r="DH56" s="753"/>
      <c r="DI56" s="753"/>
      <c r="DJ56" s="753"/>
      <c r="DK56" s="753"/>
      <c r="DL56" s="753"/>
      <c r="DM56" s="753"/>
      <c r="DN56" s="753"/>
      <c r="DO56" s="753"/>
      <c r="DP56" s="753"/>
      <c r="DQ56" s="753"/>
      <c r="DR56" s="753"/>
      <c r="DS56" s="776"/>
      <c r="DT56" s="758"/>
      <c r="DX56" s="753"/>
      <c r="DY56" s="778"/>
      <c r="DZ56" s="770"/>
      <c r="EC56" s="819"/>
    </row>
    <row r="57" spans="1:133" ht="12.75" customHeight="1">
      <c r="A57" s="854" t="s">
        <v>59</v>
      </c>
      <c r="B57" s="780"/>
      <c r="C57" s="89"/>
      <c r="D57" s="55"/>
      <c r="E57" s="780"/>
      <c r="F57" s="780"/>
      <c r="G57" s="773"/>
      <c r="H57" s="773"/>
      <c r="I57" s="836"/>
      <c r="J57" s="1061"/>
      <c r="K57" s="1125" t="s">
        <v>943</v>
      </c>
      <c r="T57" s="1195" t="s">
        <v>949</v>
      </c>
      <c r="U57" s="1233" t="s">
        <v>651</v>
      </c>
      <c r="V57" s="1202">
        <v>1.5</v>
      </c>
      <c r="W57" s="1202">
        <v>1.5</v>
      </c>
      <c r="X57" s="1202">
        <v>1.5</v>
      </c>
      <c r="Y57" s="1202" t="s">
        <v>110</v>
      </c>
      <c r="Z57" s="1202" t="s">
        <v>110</v>
      </c>
      <c r="AA57" s="1202" t="s">
        <v>110</v>
      </c>
      <c r="AB57" s="1202" t="s">
        <v>110</v>
      </c>
      <c r="AC57" s="1202" t="s">
        <v>110</v>
      </c>
      <c r="AF57" s="1088"/>
      <c r="AO57" s="1407" t="s">
        <v>702</v>
      </c>
      <c r="AP57" s="1408"/>
      <c r="AQ57" s="1408"/>
      <c r="AR57" s="1408"/>
      <c r="AS57" s="1409"/>
      <c r="AT57" s="657">
        <v>2.5</v>
      </c>
      <c r="AU57" s="657">
        <v>2</v>
      </c>
      <c r="AV57" s="657">
        <v>2.5</v>
      </c>
      <c r="AW57" s="658" t="s">
        <v>110</v>
      </c>
      <c r="AX57" s="658" t="s">
        <v>110</v>
      </c>
      <c r="AY57" s="657">
        <v>100</v>
      </c>
      <c r="AZ57" s="657">
        <v>100</v>
      </c>
      <c r="BA57" s="693" t="s">
        <v>112</v>
      </c>
      <c r="CT57" s="753"/>
      <c r="CU57" s="753"/>
      <c r="CV57" s="753"/>
      <c r="CW57" s="753"/>
      <c r="CX57" s="753"/>
      <c r="CY57" s="753"/>
      <c r="CZ57" s="753"/>
      <c r="DA57" s="753"/>
      <c r="DB57" s="753"/>
      <c r="DC57" s="753"/>
      <c r="DD57" s="753"/>
      <c r="DE57" s="753"/>
      <c r="DF57" s="753"/>
      <c r="DG57" s="753"/>
      <c r="DH57" s="753"/>
      <c r="DI57" s="753"/>
      <c r="DJ57" s="753"/>
      <c r="DK57" s="753"/>
      <c r="DL57" s="753"/>
      <c r="DM57" s="753"/>
      <c r="DN57" s="753"/>
      <c r="DO57" s="753"/>
      <c r="DP57" s="753"/>
      <c r="DQ57" s="753"/>
      <c r="DR57" s="753"/>
      <c r="DS57" s="776"/>
      <c r="DT57" s="758"/>
      <c r="DX57" s="753"/>
      <c r="DY57" s="778"/>
      <c r="DZ57" s="770"/>
      <c r="EC57" s="819"/>
    </row>
    <row r="58" spans="1:133" ht="12.75" customHeight="1">
      <c r="A58" s="859"/>
      <c r="B58" s="798" t="s">
        <v>61</v>
      </c>
      <c r="C58" s="146">
        <f>IF($C$37="N.A.","N.A.",IF($C$45&gt;=0.06,$C$55*$C$16,0.3*$C$31*$C$16*$C$9))</f>
        <v>890.28571428571422</v>
      </c>
      <c r="D58" s="1260" t="s">
        <v>1237</v>
      </c>
      <c r="E58" s="55" t="str">
        <f>IF($C$45&gt;=0.06,"for Flexible: V = CS*W,  ASCE 7-10 Eqn. 12.8-1","for Rigid: V = 0.30*SDS*W*I,  ASCE 7-10 Eqn. 15.4-5")</f>
        <v>for Flexible: V = CS*W,  ASCE 7-10 Eqn. 12.8-1</v>
      </c>
      <c r="F58" s="780"/>
      <c r="G58" s="773"/>
      <c r="H58" s="773"/>
      <c r="I58" s="836"/>
      <c r="J58" s="1061"/>
      <c r="K58" s="1125" t="s">
        <v>868</v>
      </c>
      <c r="T58" s="1235" t="s">
        <v>950</v>
      </c>
      <c r="U58" s="1085" t="s">
        <v>655</v>
      </c>
      <c r="V58" s="1236">
        <v>1.5</v>
      </c>
      <c r="W58" s="1236">
        <v>1.5</v>
      </c>
      <c r="X58" s="1236">
        <v>1.5</v>
      </c>
      <c r="Y58" s="1236" t="s">
        <v>110</v>
      </c>
      <c r="Z58" s="1236" t="s">
        <v>110</v>
      </c>
      <c r="AA58" s="1236" t="s">
        <v>110</v>
      </c>
      <c r="AB58" s="1236" t="s">
        <v>110</v>
      </c>
      <c r="AC58" s="1236" t="s">
        <v>110</v>
      </c>
      <c r="AF58" s="1088"/>
      <c r="AO58" s="1407" t="s">
        <v>704</v>
      </c>
      <c r="AP58" s="1408"/>
      <c r="AQ58" s="1408"/>
      <c r="AR58" s="1408"/>
      <c r="AS58" s="1409"/>
      <c r="AT58" s="694">
        <v>1</v>
      </c>
      <c r="AU58" s="694">
        <v>1</v>
      </c>
      <c r="AV58" s="694">
        <v>1</v>
      </c>
      <c r="AW58" s="695" t="s">
        <v>110</v>
      </c>
      <c r="AX58" s="695" t="s">
        <v>110</v>
      </c>
      <c r="AY58" s="695" t="s">
        <v>110</v>
      </c>
      <c r="AZ58" s="695" t="s">
        <v>110</v>
      </c>
      <c r="BA58" s="695" t="s">
        <v>110</v>
      </c>
      <c r="CT58" s="753"/>
      <c r="CU58" s="753"/>
      <c r="CV58" s="753"/>
      <c r="CW58" s="753"/>
      <c r="CX58" s="753"/>
      <c r="CY58" s="753"/>
      <c r="CZ58" s="753"/>
      <c r="DA58" s="753"/>
      <c r="DB58" s="753"/>
      <c r="DC58" s="753"/>
      <c r="DD58" s="753"/>
      <c r="DE58" s="753"/>
      <c r="DF58" s="753"/>
      <c r="DG58" s="753"/>
      <c r="DH58" s="753"/>
      <c r="DI58" s="753"/>
      <c r="DJ58" s="753"/>
      <c r="DK58" s="753"/>
      <c r="DL58" s="753"/>
      <c r="DM58" s="753"/>
      <c r="DN58" s="753"/>
      <c r="DO58" s="753"/>
      <c r="DP58" s="753"/>
      <c r="DQ58" s="753"/>
      <c r="DR58" s="753"/>
      <c r="DS58" s="776"/>
      <c r="DT58" s="758"/>
      <c r="DX58" s="753"/>
      <c r="DY58" s="778"/>
      <c r="DZ58" s="770"/>
      <c r="EC58" s="819"/>
    </row>
    <row r="59" spans="1:133" ht="12.75" customHeight="1">
      <c r="A59" s="860"/>
      <c r="B59" s="845"/>
      <c r="C59" s="737"/>
      <c r="D59" s="845"/>
      <c r="E59" s="845"/>
      <c r="F59" s="845"/>
      <c r="G59" s="845"/>
      <c r="H59" s="845"/>
      <c r="I59" s="846"/>
      <c r="J59" s="1061"/>
      <c r="K59" s="1125" t="s">
        <v>946</v>
      </c>
      <c r="T59" s="1101" t="s">
        <v>951</v>
      </c>
      <c r="U59" s="1102" t="s">
        <v>952</v>
      </c>
      <c r="V59" s="1217">
        <v>3</v>
      </c>
      <c r="W59" s="1217">
        <v>1.75</v>
      </c>
      <c r="X59" s="1217">
        <v>3</v>
      </c>
      <c r="Y59" s="1217" t="s">
        <v>110</v>
      </c>
      <c r="Z59" s="1217" t="s">
        <v>110</v>
      </c>
      <c r="AA59" s="1217" t="s">
        <v>110</v>
      </c>
      <c r="AB59" s="1217" t="s">
        <v>110</v>
      </c>
      <c r="AC59" s="1217" t="s">
        <v>110</v>
      </c>
      <c r="AF59" s="1088"/>
      <c r="AO59" s="1407" t="s">
        <v>705</v>
      </c>
      <c r="AP59" s="1408"/>
      <c r="AQ59" s="1408"/>
      <c r="AR59" s="1408"/>
      <c r="AS59" s="1409"/>
      <c r="AT59" s="657">
        <v>3</v>
      </c>
      <c r="AU59" s="657">
        <v>3</v>
      </c>
      <c r="AV59" s="657">
        <v>2.5</v>
      </c>
      <c r="AW59" s="658" t="s">
        <v>110</v>
      </c>
      <c r="AX59" s="658" t="s">
        <v>112</v>
      </c>
      <c r="AY59" s="693" t="s">
        <v>112</v>
      </c>
      <c r="AZ59" s="693" t="s">
        <v>112</v>
      </c>
      <c r="BA59" s="693" t="s">
        <v>112</v>
      </c>
      <c r="CT59" s="753"/>
      <c r="CU59" s="753"/>
      <c r="CV59" s="753"/>
      <c r="CW59" s="753"/>
      <c r="CX59" s="753"/>
      <c r="CY59" s="753"/>
      <c r="CZ59" s="753"/>
      <c r="DA59" s="753"/>
      <c r="DB59" s="753"/>
      <c r="DC59" s="753"/>
      <c r="DD59" s="753"/>
      <c r="DE59" s="753"/>
      <c r="DF59" s="753"/>
      <c r="DG59" s="753"/>
      <c r="DH59" s="753"/>
      <c r="DI59" s="753"/>
      <c r="DJ59" s="753"/>
      <c r="DK59" s="753"/>
      <c r="DL59" s="753"/>
      <c r="DM59" s="753"/>
      <c r="DN59" s="753"/>
      <c r="DO59" s="753"/>
      <c r="DP59" s="753"/>
      <c r="DQ59" s="753"/>
      <c r="DR59" s="753"/>
      <c r="DS59" s="776"/>
      <c r="DT59" s="758"/>
      <c r="DX59" s="753"/>
      <c r="DY59" s="778"/>
      <c r="DZ59" s="770"/>
      <c r="EC59" s="819"/>
    </row>
    <row r="60" spans="1:133" ht="12.75" customHeight="1">
      <c r="A60" s="38"/>
      <c r="B60" s="38"/>
      <c r="C60" s="738"/>
      <c r="D60" s="38"/>
      <c r="E60" s="38"/>
      <c r="F60" s="38"/>
      <c r="G60" s="38"/>
      <c r="H60" s="38"/>
      <c r="I60" s="38"/>
      <c r="J60" s="1061"/>
      <c r="K60" s="1125" t="s">
        <v>947</v>
      </c>
      <c r="T60" s="1105" t="s">
        <v>953</v>
      </c>
      <c r="U60" s="1106" t="s">
        <v>954</v>
      </c>
      <c r="V60" s="1237">
        <v>3</v>
      </c>
      <c r="W60" s="1237">
        <v>2</v>
      </c>
      <c r="X60" s="1237">
        <v>2.5</v>
      </c>
      <c r="Y60" s="1237" t="s">
        <v>110</v>
      </c>
      <c r="Z60" s="1237" t="s">
        <v>110</v>
      </c>
      <c r="AA60" s="1237" t="s">
        <v>110</v>
      </c>
      <c r="AB60" s="1237">
        <v>50</v>
      </c>
      <c r="AC60" s="1237">
        <v>50</v>
      </c>
      <c r="AD60" s="1088"/>
      <c r="AE60" s="1088"/>
      <c r="AF60" s="1088"/>
      <c r="AO60" s="1413" t="s">
        <v>706</v>
      </c>
      <c r="AP60" s="1414"/>
      <c r="AQ60" s="1414"/>
      <c r="AR60" s="1414"/>
      <c r="AS60" s="1415"/>
      <c r="AT60" s="698">
        <v>0.8</v>
      </c>
      <c r="AU60" s="698">
        <v>1</v>
      </c>
      <c r="AV60" s="698">
        <v>1</v>
      </c>
      <c r="AW60" s="699" t="s">
        <v>110</v>
      </c>
      <c r="AX60" s="699" t="s">
        <v>110</v>
      </c>
      <c r="AY60" s="698">
        <v>50</v>
      </c>
      <c r="AZ60" s="698">
        <v>50</v>
      </c>
      <c r="BA60" s="698">
        <v>50</v>
      </c>
      <c r="CT60" s="753"/>
      <c r="CU60" s="753"/>
      <c r="CV60" s="753"/>
      <c r="CW60" s="753"/>
      <c r="CX60" s="753"/>
      <c r="CY60" s="753"/>
      <c r="CZ60" s="753"/>
      <c r="DA60" s="753"/>
      <c r="DB60" s="753"/>
      <c r="DC60" s="753"/>
      <c r="DD60" s="753"/>
      <c r="DE60" s="753"/>
      <c r="DF60" s="753"/>
      <c r="DG60" s="753"/>
      <c r="DH60" s="753"/>
      <c r="DI60" s="753"/>
      <c r="DJ60" s="753"/>
      <c r="DK60" s="753"/>
      <c r="DL60" s="753"/>
      <c r="DM60" s="753"/>
      <c r="DN60" s="753"/>
      <c r="DO60" s="753"/>
      <c r="DP60" s="753"/>
      <c r="DQ60" s="753"/>
      <c r="DR60" s="753"/>
      <c r="DS60" s="776"/>
      <c r="DT60" s="758"/>
      <c r="DX60" s="753"/>
      <c r="DY60" s="778"/>
      <c r="DZ60" s="770"/>
      <c r="EC60" s="819"/>
    </row>
    <row r="61" spans="1:133" ht="12.75" customHeight="1">
      <c r="A61" s="38"/>
      <c r="B61" s="68"/>
      <c r="C61" s="236"/>
      <c r="D61" s="110"/>
      <c r="E61" s="38"/>
      <c r="F61" s="38"/>
      <c r="G61" s="38"/>
      <c r="H61" s="38"/>
      <c r="I61" s="38"/>
      <c r="K61" s="1125" t="s">
        <v>948</v>
      </c>
      <c r="T61" s="1105" t="s">
        <v>955</v>
      </c>
      <c r="U61" s="1106" t="s">
        <v>956</v>
      </c>
      <c r="V61" s="1237">
        <v>1.25</v>
      </c>
      <c r="W61" s="1237">
        <v>2</v>
      </c>
      <c r="X61" s="1237">
        <v>1.5</v>
      </c>
      <c r="Y61" s="1237" t="s">
        <v>110</v>
      </c>
      <c r="Z61" s="1237" t="s">
        <v>110</v>
      </c>
      <c r="AA61" s="1237">
        <v>50</v>
      </c>
      <c r="AB61" s="1237">
        <v>50</v>
      </c>
      <c r="AC61" s="1237">
        <v>50</v>
      </c>
      <c r="AD61" s="1088"/>
      <c r="AE61" s="1088"/>
      <c r="AF61" s="1088"/>
      <c r="AO61" s="1423" t="s">
        <v>708</v>
      </c>
      <c r="AP61" s="1411"/>
      <c r="AQ61" s="1411"/>
      <c r="AR61" s="1411"/>
      <c r="AS61" s="1412"/>
      <c r="AT61" s="700">
        <v>3</v>
      </c>
      <c r="AU61" s="700" t="s">
        <v>633</v>
      </c>
      <c r="AV61" s="700">
        <v>2.5</v>
      </c>
      <c r="AW61" s="701" t="s">
        <v>110</v>
      </c>
      <c r="AX61" s="701" t="s">
        <v>110</v>
      </c>
      <c r="AY61" s="701" t="s">
        <v>110</v>
      </c>
      <c r="AZ61" s="701" t="s">
        <v>110</v>
      </c>
      <c r="BA61" s="701" t="s">
        <v>110</v>
      </c>
      <c r="CT61" s="753"/>
      <c r="CU61" s="753"/>
      <c r="CV61" s="753"/>
      <c r="CW61" s="753"/>
      <c r="CX61" s="753"/>
      <c r="CY61" s="753"/>
      <c r="CZ61" s="753"/>
      <c r="DA61" s="753"/>
      <c r="DB61" s="753"/>
      <c r="DC61" s="753"/>
      <c r="DD61" s="753"/>
      <c r="DE61" s="753"/>
      <c r="DF61" s="753"/>
      <c r="DG61" s="753"/>
      <c r="DH61" s="753"/>
      <c r="DI61" s="753"/>
      <c r="DJ61" s="753"/>
      <c r="DK61" s="753"/>
      <c r="DL61" s="753"/>
      <c r="DM61" s="753"/>
      <c r="DN61" s="753"/>
      <c r="DO61" s="753"/>
      <c r="DP61" s="753"/>
      <c r="DQ61" s="753"/>
      <c r="DR61" s="753"/>
      <c r="DS61" s="776"/>
      <c r="DT61" s="758"/>
      <c r="DX61" s="753"/>
      <c r="DY61" s="778"/>
      <c r="DZ61" s="770"/>
      <c r="EC61" s="819"/>
    </row>
    <row r="62" spans="1:133" ht="12.75" customHeight="1">
      <c r="A62" s="38"/>
      <c r="B62" s="739"/>
      <c r="C62" s="738"/>
      <c r="D62" s="738"/>
      <c r="E62" s="38"/>
      <c r="F62" s="38"/>
      <c r="G62" s="38"/>
      <c r="H62" s="38"/>
      <c r="I62" s="38"/>
      <c r="J62" s="1063"/>
      <c r="K62" s="1125" t="s">
        <v>949</v>
      </c>
      <c r="M62" s="1133"/>
      <c r="T62" s="1105" t="s">
        <v>659</v>
      </c>
      <c r="U62" s="1106" t="s">
        <v>660</v>
      </c>
      <c r="V62" s="1237">
        <v>3</v>
      </c>
      <c r="W62" s="1237">
        <v>2</v>
      </c>
      <c r="X62" s="1237">
        <v>2.5</v>
      </c>
      <c r="Y62" s="1237" t="s">
        <v>110</v>
      </c>
      <c r="Z62" s="1237" t="s">
        <v>110</v>
      </c>
      <c r="AA62" s="1237" t="s">
        <v>110</v>
      </c>
      <c r="AB62" s="1237" t="s">
        <v>110</v>
      </c>
      <c r="AC62" s="1237" t="s">
        <v>110</v>
      </c>
      <c r="AD62" s="1088"/>
      <c r="AE62" s="1088"/>
      <c r="AF62" s="1088"/>
      <c r="AO62" s="1407" t="s">
        <v>709</v>
      </c>
      <c r="AP62" s="1408"/>
      <c r="AQ62" s="1408"/>
      <c r="AR62" s="1408"/>
      <c r="AS62" s="1409"/>
      <c r="AT62" s="702">
        <v>2.5</v>
      </c>
      <c r="AU62" s="654" t="s">
        <v>637</v>
      </c>
      <c r="AV62" s="702">
        <v>2</v>
      </c>
      <c r="AW62" s="703" t="s">
        <v>110</v>
      </c>
      <c r="AX62" s="703" t="s">
        <v>110</v>
      </c>
      <c r="AY62" s="703" t="s">
        <v>110</v>
      </c>
      <c r="AZ62" s="703" t="s">
        <v>110</v>
      </c>
      <c r="BA62" s="703" t="s">
        <v>110</v>
      </c>
      <c r="CT62" s="753"/>
      <c r="CU62" s="753"/>
      <c r="CV62" s="753"/>
      <c r="CW62" s="753"/>
      <c r="CX62" s="753"/>
      <c r="CY62" s="753"/>
      <c r="CZ62" s="753"/>
      <c r="DA62" s="753"/>
      <c r="DB62" s="753"/>
      <c r="DC62" s="753"/>
      <c r="DD62" s="753"/>
      <c r="DE62" s="753"/>
      <c r="DF62" s="753"/>
      <c r="DG62" s="753"/>
      <c r="DH62" s="753"/>
      <c r="DI62" s="753"/>
      <c r="DJ62" s="753"/>
      <c r="DK62" s="753"/>
      <c r="DL62" s="753"/>
      <c r="DM62" s="753"/>
      <c r="DN62" s="753"/>
      <c r="DO62" s="753"/>
      <c r="DP62" s="753"/>
      <c r="DQ62" s="753"/>
      <c r="DR62" s="753"/>
      <c r="DS62" s="776"/>
      <c r="DT62" s="758"/>
      <c r="DX62" s="753"/>
      <c r="DY62" s="778"/>
      <c r="DZ62" s="770"/>
      <c r="EC62" s="819"/>
    </row>
    <row r="63" spans="1:133" ht="12.75" customHeight="1">
      <c r="A63" s="38"/>
      <c r="B63" s="739"/>
      <c r="C63" s="738"/>
      <c r="D63" s="740"/>
      <c r="E63" s="38"/>
      <c r="F63" s="38"/>
      <c r="G63" s="38"/>
      <c r="H63" s="38"/>
      <c r="I63" s="38"/>
      <c r="J63" s="1063"/>
      <c r="K63" s="1125" t="s">
        <v>950</v>
      </c>
      <c r="T63" s="1105" t="s">
        <v>957</v>
      </c>
      <c r="U63" s="1106" t="s">
        <v>958</v>
      </c>
      <c r="V63" s="1237">
        <v>3</v>
      </c>
      <c r="W63" s="1237">
        <v>2</v>
      </c>
      <c r="X63" s="1237">
        <v>2.5</v>
      </c>
      <c r="Y63" s="1237" t="s">
        <v>110</v>
      </c>
      <c r="Z63" s="1237" t="s">
        <v>110</v>
      </c>
      <c r="AA63" s="1237" t="s">
        <v>110</v>
      </c>
      <c r="AB63" s="1237" t="s">
        <v>110</v>
      </c>
      <c r="AC63" s="1237" t="s">
        <v>110</v>
      </c>
      <c r="AD63" s="1088"/>
      <c r="AE63" s="1088"/>
      <c r="AF63" s="1088"/>
      <c r="AO63" s="1407" t="s">
        <v>711</v>
      </c>
      <c r="AP63" s="1408"/>
      <c r="AQ63" s="1408"/>
      <c r="AR63" s="1408"/>
      <c r="AS63" s="1409"/>
      <c r="AT63" s="694">
        <v>2</v>
      </c>
      <c r="AU63" s="654" t="s">
        <v>637</v>
      </c>
      <c r="AV63" s="694">
        <v>2</v>
      </c>
      <c r="AW63" s="695" t="s">
        <v>110</v>
      </c>
      <c r="AX63" s="695" t="s">
        <v>110</v>
      </c>
      <c r="AY63" s="695" t="s">
        <v>110</v>
      </c>
      <c r="AZ63" s="695" t="s">
        <v>110</v>
      </c>
      <c r="BA63" s="695" t="s">
        <v>110</v>
      </c>
      <c r="CT63" s="753"/>
      <c r="CU63" s="753"/>
      <c r="CV63" s="753"/>
      <c r="CW63" s="753"/>
      <c r="CX63" s="753"/>
      <c r="CY63" s="753"/>
      <c r="CZ63" s="753"/>
      <c r="DA63" s="753"/>
      <c r="DB63" s="753"/>
      <c r="DC63" s="753"/>
      <c r="DD63" s="753"/>
      <c r="DE63" s="753"/>
      <c r="DF63" s="753"/>
      <c r="DG63" s="753"/>
      <c r="DH63" s="753"/>
      <c r="DI63" s="753"/>
      <c r="DJ63" s="753"/>
      <c r="DK63" s="753"/>
      <c r="DL63" s="753"/>
      <c r="DM63" s="753"/>
      <c r="DN63" s="753"/>
      <c r="DO63" s="753"/>
      <c r="DP63" s="753"/>
      <c r="DQ63" s="753"/>
      <c r="DR63" s="753"/>
      <c r="DS63" s="776"/>
      <c r="DT63" s="758"/>
      <c r="DX63" s="753"/>
      <c r="DY63" s="778"/>
      <c r="DZ63" s="770"/>
      <c r="EC63" s="819"/>
    </row>
    <row r="64" spans="1:133" ht="12.75" customHeight="1">
      <c r="A64" s="38"/>
      <c r="B64" s="739"/>
      <c r="C64" s="738"/>
      <c r="D64" s="738"/>
      <c r="E64" s="38"/>
      <c r="F64" s="38"/>
      <c r="G64" s="38"/>
      <c r="H64" s="38"/>
      <c r="I64" s="38"/>
      <c r="J64" s="1063"/>
      <c r="K64" s="1125" t="s">
        <v>951</v>
      </c>
      <c r="T64" s="1238" t="s">
        <v>959</v>
      </c>
      <c r="U64" s="1078" t="s">
        <v>960</v>
      </c>
      <c r="V64" s="1123">
        <v>3.5</v>
      </c>
      <c r="W64" s="1123">
        <v>1.75</v>
      </c>
      <c r="X64" s="1123">
        <v>3</v>
      </c>
      <c r="Y64" s="1209" t="s">
        <v>110</v>
      </c>
      <c r="Z64" s="1209" t="s">
        <v>110</v>
      </c>
      <c r="AA64" s="1209" t="s">
        <v>110</v>
      </c>
      <c r="AB64" s="1209" t="s">
        <v>110</v>
      </c>
      <c r="AC64" s="1209" t="s">
        <v>110</v>
      </c>
      <c r="AD64" s="1088"/>
      <c r="AE64" s="1088"/>
      <c r="AF64" s="1088"/>
      <c r="AO64" s="1407" t="s">
        <v>713</v>
      </c>
      <c r="AP64" s="1408"/>
      <c r="AQ64" s="1408"/>
      <c r="AR64" s="1408"/>
      <c r="AS64" s="1409"/>
      <c r="AT64" s="694">
        <v>3.25</v>
      </c>
      <c r="AU64" s="654" t="s">
        <v>637</v>
      </c>
      <c r="AV64" s="694">
        <v>2</v>
      </c>
      <c r="AW64" s="695" t="s">
        <v>110</v>
      </c>
      <c r="AX64" s="695" t="s">
        <v>110</v>
      </c>
      <c r="AY64" s="695" t="s">
        <v>110</v>
      </c>
      <c r="AZ64" s="695" t="s">
        <v>110</v>
      </c>
      <c r="BA64" s="695" t="s">
        <v>110</v>
      </c>
      <c r="CT64" s="753"/>
      <c r="CU64" s="753"/>
      <c r="CV64" s="753"/>
      <c r="CW64" s="753"/>
      <c r="CX64" s="753"/>
      <c r="CY64" s="753"/>
      <c r="CZ64" s="753"/>
      <c r="DA64" s="753"/>
      <c r="DB64" s="753"/>
      <c r="DC64" s="753"/>
      <c r="DD64" s="753"/>
      <c r="DE64" s="753"/>
      <c r="DF64" s="753"/>
      <c r="DG64" s="753"/>
      <c r="DH64" s="753"/>
      <c r="DI64" s="753"/>
      <c r="DJ64" s="753"/>
      <c r="DK64" s="753"/>
      <c r="DL64" s="753"/>
      <c r="DM64" s="753"/>
      <c r="DN64" s="753"/>
      <c r="DO64" s="753"/>
      <c r="DP64" s="753"/>
      <c r="DQ64" s="753"/>
      <c r="DR64" s="753"/>
      <c r="DS64" s="776"/>
      <c r="DT64" s="758"/>
      <c r="DX64" s="753"/>
      <c r="DY64" s="778"/>
      <c r="DZ64" s="770"/>
      <c r="EC64" s="819"/>
    </row>
    <row r="65" spans="1:133" ht="12.75" customHeight="1">
      <c r="A65" s="38"/>
      <c r="B65" s="739"/>
      <c r="C65" s="738"/>
      <c r="D65" s="738"/>
      <c r="E65" s="38"/>
      <c r="F65" s="38"/>
      <c r="G65" s="38"/>
      <c r="H65" s="38"/>
      <c r="I65" s="38"/>
      <c r="J65" s="1063"/>
      <c r="K65" s="1125" t="s">
        <v>953</v>
      </c>
      <c r="T65" s="1239" t="s">
        <v>961</v>
      </c>
      <c r="U65" s="1085" t="s">
        <v>962</v>
      </c>
      <c r="V65" s="1128">
        <v>3.5</v>
      </c>
      <c r="W65" s="1128">
        <v>3</v>
      </c>
      <c r="X65" s="1128">
        <v>3</v>
      </c>
      <c r="Y65" s="1216" t="s">
        <v>110</v>
      </c>
      <c r="Z65" s="1216" t="s">
        <v>110</v>
      </c>
      <c r="AA65" s="1216" t="s">
        <v>110</v>
      </c>
      <c r="AB65" s="1216">
        <v>50</v>
      </c>
      <c r="AC65" s="1216">
        <v>50</v>
      </c>
      <c r="AD65" s="1088"/>
      <c r="AE65" s="1088"/>
      <c r="AF65" s="1088"/>
      <c r="AO65" s="1407" t="s">
        <v>714</v>
      </c>
      <c r="AP65" s="1408"/>
      <c r="AQ65" s="1408"/>
      <c r="AR65" s="1408"/>
      <c r="AS65" s="1409"/>
      <c r="AT65" s="694">
        <v>1.5</v>
      </c>
      <c r="AU65" s="694" t="s">
        <v>715</v>
      </c>
      <c r="AV65" s="694">
        <v>1.5</v>
      </c>
      <c r="AW65" s="695" t="s">
        <v>110</v>
      </c>
      <c r="AX65" s="695" t="s">
        <v>110</v>
      </c>
      <c r="AY65" s="695" t="s">
        <v>110</v>
      </c>
      <c r="AZ65" s="695" t="s">
        <v>110</v>
      </c>
      <c r="BA65" s="695" t="s">
        <v>110</v>
      </c>
      <c r="CT65" s="753"/>
      <c r="CU65" s="753"/>
      <c r="CV65" s="753"/>
      <c r="CW65" s="753"/>
      <c r="CX65" s="753"/>
      <c r="CY65" s="753"/>
      <c r="CZ65" s="753"/>
      <c r="DA65" s="753"/>
      <c r="DB65" s="753"/>
      <c r="DC65" s="753"/>
      <c r="DD65" s="753"/>
      <c r="DE65" s="753"/>
      <c r="DF65" s="753"/>
      <c r="DG65" s="753"/>
      <c r="DH65" s="753"/>
      <c r="DI65" s="753"/>
      <c r="DJ65" s="753"/>
      <c r="DK65" s="753"/>
      <c r="DL65" s="753"/>
      <c r="DM65" s="753"/>
      <c r="DN65" s="753"/>
      <c r="DO65" s="753"/>
      <c r="DP65" s="753"/>
      <c r="DQ65" s="753"/>
      <c r="DR65" s="753"/>
      <c r="DS65" s="776"/>
      <c r="DT65" s="758"/>
      <c r="DX65" s="753"/>
      <c r="DY65" s="778"/>
      <c r="DZ65" s="770"/>
      <c r="EC65" s="819"/>
    </row>
    <row r="66" spans="1:133" ht="12.75" customHeight="1">
      <c r="A66" s="38"/>
      <c r="B66" s="739"/>
      <c r="C66" s="738"/>
      <c r="D66" s="738"/>
      <c r="E66" s="38"/>
      <c r="F66" s="38"/>
      <c r="G66" s="38"/>
      <c r="H66" s="38"/>
      <c r="I66" s="38"/>
      <c r="J66" s="1063"/>
      <c r="K66" s="1125" t="s">
        <v>955</v>
      </c>
      <c r="T66" s="1077" t="s">
        <v>963</v>
      </c>
      <c r="U66" s="1078" t="s">
        <v>964</v>
      </c>
      <c r="V66" s="1123">
        <v>3</v>
      </c>
      <c r="W66" s="1123">
        <v>1.5</v>
      </c>
      <c r="X66" s="1123">
        <v>3</v>
      </c>
      <c r="Y66" s="1123" t="s">
        <v>110</v>
      </c>
      <c r="Z66" s="1123" t="s">
        <v>110</v>
      </c>
      <c r="AA66" s="1123" t="s">
        <v>110</v>
      </c>
      <c r="AB66" s="1123" t="s">
        <v>110</v>
      </c>
      <c r="AC66" s="1123" t="s">
        <v>110</v>
      </c>
      <c r="AO66" s="1424" t="s">
        <v>716</v>
      </c>
      <c r="AP66" s="1414"/>
      <c r="AQ66" s="1414"/>
      <c r="AR66" s="1414"/>
      <c r="AS66" s="1415"/>
      <c r="AT66" s="705">
        <v>1.5</v>
      </c>
      <c r="AU66" s="705" t="s">
        <v>715</v>
      </c>
      <c r="AV66" s="705">
        <v>1.5</v>
      </c>
      <c r="AW66" s="706" t="s">
        <v>110</v>
      </c>
      <c r="AX66" s="706" t="s">
        <v>110</v>
      </c>
      <c r="AY66" s="706" t="s">
        <v>110</v>
      </c>
      <c r="AZ66" s="706" t="s">
        <v>110</v>
      </c>
      <c r="BA66" s="706" t="s">
        <v>110</v>
      </c>
      <c r="CT66" s="753"/>
      <c r="CU66" s="753"/>
      <c r="CV66" s="753"/>
      <c r="CW66" s="753"/>
      <c r="CX66" s="753"/>
      <c r="CY66" s="753"/>
      <c r="CZ66" s="753"/>
      <c r="DA66" s="753"/>
      <c r="DB66" s="753"/>
      <c r="DC66" s="753"/>
      <c r="DD66" s="753"/>
      <c r="DE66" s="753"/>
      <c r="DF66" s="753"/>
      <c r="DG66" s="753"/>
      <c r="DH66" s="753"/>
      <c r="DI66" s="753"/>
      <c r="DJ66" s="753"/>
      <c r="DK66" s="753"/>
      <c r="DL66" s="753"/>
      <c r="DM66" s="753"/>
      <c r="DN66" s="753"/>
      <c r="DO66" s="753"/>
      <c r="DP66" s="753"/>
      <c r="DQ66" s="753"/>
      <c r="DR66" s="753"/>
      <c r="DS66" s="776"/>
      <c r="DT66" s="758"/>
      <c r="DX66" s="753"/>
      <c r="DY66" s="778"/>
      <c r="DZ66" s="770"/>
      <c r="EC66" s="819"/>
    </row>
    <row r="67" spans="1:133" ht="12.75" customHeight="1">
      <c r="A67" s="38"/>
      <c r="B67" s="38"/>
      <c r="C67" s="38"/>
      <c r="D67" s="38"/>
      <c r="E67" s="38"/>
      <c r="F67" s="38"/>
      <c r="G67" s="38"/>
      <c r="H67" s="38"/>
      <c r="I67" s="38"/>
      <c r="J67" s="1063"/>
      <c r="K67" s="1125" t="s">
        <v>659</v>
      </c>
      <c r="L67" s="1104"/>
      <c r="M67" s="1049"/>
      <c r="N67" s="1137"/>
      <c r="O67" s="1130"/>
      <c r="P67" s="783"/>
      <c r="T67" s="1116" t="s">
        <v>965</v>
      </c>
      <c r="U67" s="1117" t="s">
        <v>966</v>
      </c>
      <c r="V67" s="1126">
        <v>1.5</v>
      </c>
      <c r="W67" s="1126">
        <v>1.5</v>
      </c>
      <c r="X67" s="1126">
        <v>1.5</v>
      </c>
      <c r="Y67" s="1126" t="s">
        <v>110</v>
      </c>
      <c r="Z67" s="1126" t="s">
        <v>110</v>
      </c>
      <c r="AA67" s="1126" t="s">
        <v>110</v>
      </c>
      <c r="AB67" s="1126" t="s">
        <v>110</v>
      </c>
      <c r="AC67" s="1126" t="s">
        <v>110</v>
      </c>
      <c r="AO67" s="1416" t="s">
        <v>718</v>
      </c>
      <c r="AP67" s="1417"/>
      <c r="AQ67" s="1417"/>
      <c r="AR67" s="1417"/>
      <c r="AS67" s="1418"/>
      <c r="AT67" s="664">
        <v>3</v>
      </c>
      <c r="AU67" s="664">
        <v>1.75</v>
      </c>
      <c r="AV67" s="664">
        <v>3</v>
      </c>
      <c r="AW67" s="665" t="s">
        <v>110</v>
      </c>
      <c r="AX67" s="665" t="s">
        <v>110</v>
      </c>
      <c r="AY67" s="665" t="s">
        <v>110</v>
      </c>
      <c r="AZ67" s="665" t="s">
        <v>110</v>
      </c>
      <c r="BA67" s="665" t="s">
        <v>110</v>
      </c>
      <c r="CT67" s="753"/>
      <c r="CU67" s="753"/>
      <c r="CV67" s="753"/>
      <c r="CW67" s="753"/>
      <c r="CX67" s="753"/>
      <c r="CY67" s="753"/>
      <c r="CZ67" s="753"/>
      <c r="DA67" s="753"/>
      <c r="DB67" s="753"/>
      <c r="DC67" s="753"/>
      <c r="DD67" s="753"/>
      <c r="DE67" s="753"/>
      <c r="DF67" s="753"/>
      <c r="DG67" s="753"/>
      <c r="DH67" s="753"/>
      <c r="DI67" s="753"/>
      <c r="DJ67" s="753"/>
      <c r="DK67" s="753"/>
      <c r="DL67" s="753"/>
      <c r="DM67" s="753"/>
      <c r="DN67" s="753"/>
      <c r="DO67" s="753"/>
      <c r="DP67" s="753"/>
      <c r="DQ67" s="753"/>
      <c r="DR67" s="753"/>
      <c r="DS67" s="776"/>
      <c r="DT67" s="758"/>
      <c r="DX67" s="753"/>
      <c r="DY67" s="778"/>
      <c r="DZ67" s="770"/>
      <c r="EC67" s="819"/>
    </row>
    <row r="68" spans="1:133" ht="12.75" customHeight="1">
      <c r="A68" s="38"/>
      <c r="B68" s="38"/>
      <c r="C68" s="38"/>
      <c r="D68" s="738"/>
      <c r="E68" s="304"/>
      <c r="F68" s="38"/>
      <c r="G68" s="38"/>
      <c r="H68" s="38"/>
      <c r="I68" s="38"/>
      <c r="J68" s="1076"/>
      <c r="K68" s="1125" t="s">
        <v>957</v>
      </c>
      <c r="L68" s="1104"/>
      <c r="M68" s="1138"/>
      <c r="N68" s="1083"/>
      <c r="O68" s="1130"/>
      <c r="P68" s="1130"/>
      <c r="T68" s="1240" t="s">
        <v>967</v>
      </c>
      <c r="U68" s="1092" t="s">
        <v>968</v>
      </c>
      <c r="V68" s="1196">
        <v>1.5</v>
      </c>
      <c r="W68" s="1196">
        <v>1.5</v>
      </c>
      <c r="X68" s="1196">
        <v>1.5</v>
      </c>
      <c r="Y68" s="1196" t="s">
        <v>110</v>
      </c>
      <c r="Z68" s="1196" t="s">
        <v>110</v>
      </c>
      <c r="AA68" s="1196" t="s">
        <v>110</v>
      </c>
      <c r="AB68" s="1196" t="s">
        <v>110</v>
      </c>
      <c r="AC68" s="1196" t="s">
        <v>110</v>
      </c>
      <c r="AO68" s="1416" t="s">
        <v>720</v>
      </c>
      <c r="AP68" s="1417"/>
      <c r="AQ68" s="1417"/>
      <c r="AR68" s="1417"/>
      <c r="AS68" s="1418"/>
      <c r="AT68" s="707">
        <v>3</v>
      </c>
      <c r="AU68" s="707">
        <v>2</v>
      </c>
      <c r="AV68" s="707">
        <v>2.5</v>
      </c>
      <c r="AW68" s="615" t="s">
        <v>110</v>
      </c>
      <c r="AX68" s="615" t="s">
        <v>110</v>
      </c>
      <c r="AY68" s="615" t="s">
        <v>110</v>
      </c>
      <c r="AZ68" s="707">
        <v>50</v>
      </c>
      <c r="BA68" s="707">
        <v>50</v>
      </c>
      <c r="CT68" s="753"/>
      <c r="CU68" s="753"/>
      <c r="CV68" s="753"/>
      <c r="CW68" s="753"/>
      <c r="CX68" s="753"/>
      <c r="CY68" s="753"/>
      <c r="CZ68" s="753"/>
      <c r="DA68" s="753"/>
      <c r="DB68" s="753"/>
      <c r="DC68" s="753"/>
      <c r="DD68" s="753"/>
      <c r="DE68" s="753"/>
      <c r="DF68" s="753"/>
      <c r="DG68" s="753"/>
      <c r="DH68" s="753"/>
      <c r="DI68" s="753"/>
      <c r="DJ68" s="753"/>
      <c r="DK68" s="753"/>
      <c r="DL68" s="753"/>
      <c r="DM68" s="753"/>
      <c r="DN68" s="753"/>
      <c r="DO68" s="753"/>
      <c r="DP68" s="753"/>
      <c r="DQ68" s="753"/>
      <c r="DR68" s="753"/>
      <c r="DS68" s="776"/>
      <c r="DT68" s="758"/>
      <c r="DX68" s="753"/>
      <c r="DY68" s="778"/>
      <c r="DZ68" s="770"/>
      <c r="EC68" s="819"/>
    </row>
    <row r="69" spans="1:133" ht="12.75" customHeight="1">
      <c r="A69" s="38"/>
      <c r="B69" s="38"/>
      <c r="C69" s="38"/>
      <c r="D69" s="38"/>
      <c r="E69" s="38"/>
      <c r="F69" s="38"/>
      <c r="G69" s="38"/>
      <c r="H69" s="38"/>
      <c r="I69" s="38"/>
      <c r="J69" s="1076"/>
      <c r="K69" s="1125" t="s">
        <v>959</v>
      </c>
      <c r="L69" s="1104"/>
      <c r="M69" s="1138"/>
      <c r="N69" s="1083"/>
      <c r="O69" s="1130"/>
      <c r="P69" s="1130"/>
      <c r="T69" s="1240" t="s">
        <v>969</v>
      </c>
      <c r="U69" s="1092" t="s">
        <v>970</v>
      </c>
      <c r="V69" s="1196">
        <v>1.5</v>
      </c>
      <c r="W69" s="1196">
        <v>1.5</v>
      </c>
      <c r="X69" s="1196">
        <v>1.5</v>
      </c>
      <c r="Y69" s="1196" t="s">
        <v>110</v>
      </c>
      <c r="Z69" s="1196" t="s">
        <v>110</v>
      </c>
      <c r="AA69" s="1196" t="s">
        <v>110</v>
      </c>
      <c r="AB69" s="1196" t="s">
        <v>110</v>
      </c>
      <c r="AC69" s="1196" t="s">
        <v>110</v>
      </c>
      <c r="AO69" s="1416" t="s">
        <v>721</v>
      </c>
      <c r="AP69" s="1417"/>
      <c r="AQ69" s="1417"/>
      <c r="AR69" s="1417"/>
      <c r="AS69" s="1418"/>
      <c r="AT69" s="608">
        <v>1.25</v>
      </c>
      <c r="AU69" s="707">
        <v>2</v>
      </c>
      <c r="AV69" s="707">
        <v>1.5</v>
      </c>
      <c r="AW69" s="615" t="s">
        <v>110</v>
      </c>
      <c r="AX69" s="615" t="s">
        <v>110</v>
      </c>
      <c r="AY69" s="707">
        <v>50</v>
      </c>
      <c r="AZ69" s="707">
        <v>50</v>
      </c>
      <c r="BA69" s="707">
        <v>50</v>
      </c>
      <c r="CT69" s="753"/>
      <c r="CU69" s="753"/>
      <c r="CV69" s="753"/>
      <c r="CW69" s="753"/>
      <c r="CX69" s="753"/>
      <c r="CY69" s="753"/>
      <c r="CZ69" s="753"/>
      <c r="DA69" s="753"/>
      <c r="DB69" s="753"/>
      <c r="DC69" s="753"/>
      <c r="DD69" s="753"/>
      <c r="DE69" s="753"/>
      <c r="DF69" s="753"/>
      <c r="DG69" s="753"/>
      <c r="DH69" s="753"/>
      <c r="DI69" s="753"/>
      <c r="DJ69" s="753"/>
      <c r="DK69" s="753"/>
      <c r="DL69" s="753"/>
      <c r="DM69" s="753"/>
      <c r="DN69" s="753"/>
      <c r="DO69" s="753"/>
      <c r="DP69" s="753"/>
      <c r="DQ69" s="753"/>
      <c r="DR69" s="753"/>
      <c r="DS69" s="776"/>
      <c r="DT69" s="758"/>
      <c r="DX69" s="753"/>
      <c r="DY69" s="778"/>
      <c r="DZ69" s="770"/>
      <c r="EC69" s="819"/>
    </row>
    <row r="70" spans="1:133" ht="12.75" customHeight="1">
      <c r="A70" s="38"/>
      <c r="B70" s="38"/>
      <c r="C70" s="38"/>
      <c r="D70" s="38"/>
      <c r="E70" s="38"/>
      <c r="F70" s="38"/>
      <c r="G70" s="38"/>
      <c r="H70" s="38"/>
      <c r="I70" s="38"/>
      <c r="J70" s="1076"/>
      <c r="K70" s="1125" t="s">
        <v>961</v>
      </c>
      <c r="L70" s="1104"/>
      <c r="M70" s="1138"/>
      <c r="N70" s="1083"/>
      <c r="O70" s="1130"/>
      <c r="P70" s="1130"/>
      <c r="T70" s="1240" t="s">
        <v>971</v>
      </c>
      <c r="U70" s="1092" t="s">
        <v>972</v>
      </c>
      <c r="V70" s="1196">
        <v>3</v>
      </c>
      <c r="W70" s="1196">
        <v>1.5</v>
      </c>
      <c r="X70" s="1196">
        <v>1.5</v>
      </c>
      <c r="Y70" s="1196" t="s">
        <v>110</v>
      </c>
      <c r="Z70" s="1196" t="s">
        <v>110</v>
      </c>
      <c r="AA70" s="1196" t="s">
        <v>110</v>
      </c>
      <c r="AB70" s="1196" t="s">
        <v>110</v>
      </c>
      <c r="AC70" s="1196" t="s">
        <v>110</v>
      </c>
      <c r="AO70" s="1416" t="s">
        <v>722</v>
      </c>
      <c r="AP70" s="1417"/>
      <c r="AQ70" s="1417"/>
      <c r="AR70" s="1417"/>
      <c r="AS70" s="1418"/>
      <c r="AT70" s="708">
        <v>3</v>
      </c>
      <c r="AU70" s="709">
        <v>2</v>
      </c>
      <c r="AV70" s="709">
        <v>2.5</v>
      </c>
      <c r="AW70" s="710" t="s">
        <v>110</v>
      </c>
      <c r="AX70" s="710" t="s">
        <v>110</v>
      </c>
      <c r="AY70" s="710" t="s">
        <v>110</v>
      </c>
      <c r="AZ70" s="710" t="s">
        <v>110</v>
      </c>
      <c r="BA70" s="710" t="s">
        <v>110</v>
      </c>
      <c r="CT70" s="753"/>
      <c r="CU70" s="753"/>
      <c r="CV70" s="753"/>
      <c r="CW70" s="753"/>
      <c r="CX70" s="753"/>
      <c r="CY70" s="753"/>
      <c r="CZ70" s="753"/>
      <c r="DA70" s="753"/>
      <c r="DB70" s="753"/>
      <c r="DC70" s="753"/>
      <c r="DD70" s="753"/>
      <c r="DE70" s="753"/>
      <c r="DF70" s="753"/>
      <c r="DG70" s="753"/>
      <c r="DH70" s="753"/>
      <c r="DI70" s="753"/>
      <c r="DJ70" s="753"/>
      <c r="DK70" s="753"/>
      <c r="DL70" s="753"/>
      <c r="DM70" s="753"/>
      <c r="DN70" s="753"/>
      <c r="DO70" s="753"/>
      <c r="DP70" s="753"/>
      <c r="DQ70" s="753"/>
      <c r="DR70" s="753"/>
      <c r="DS70" s="776"/>
      <c r="DT70" s="758"/>
      <c r="DX70" s="753"/>
      <c r="DY70" s="778"/>
      <c r="DZ70" s="770"/>
      <c r="EC70" s="819"/>
    </row>
    <row r="71" spans="1:133" ht="12.75" customHeight="1">
      <c r="A71" s="38"/>
      <c r="B71" s="38"/>
      <c r="C71" s="38"/>
      <c r="D71" s="738"/>
      <c r="E71" s="38"/>
      <c r="F71" s="38"/>
      <c r="G71" s="38"/>
      <c r="H71" s="38"/>
      <c r="I71" s="38"/>
      <c r="J71" s="1076"/>
      <c r="K71" s="1125" t="s">
        <v>963</v>
      </c>
      <c r="L71" s="1104"/>
      <c r="M71" s="1138"/>
      <c r="N71" s="1083"/>
      <c r="O71" s="1130"/>
      <c r="P71" s="1130"/>
      <c r="T71" s="1240" t="s">
        <v>973</v>
      </c>
      <c r="U71" s="1092" t="s">
        <v>974</v>
      </c>
      <c r="V71" s="1196">
        <v>1.5</v>
      </c>
      <c r="W71" s="1196">
        <v>1.5</v>
      </c>
      <c r="X71" s="1196">
        <v>1.5</v>
      </c>
      <c r="Y71" s="1196" t="s">
        <v>110</v>
      </c>
      <c r="Z71" s="1196" t="s">
        <v>110</v>
      </c>
      <c r="AA71" s="1196" t="s">
        <v>110</v>
      </c>
      <c r="AB71" s="1196" t="s">
        <v>110</v>
      </c>
      <c r="AC71" s="1196" t="s">
        <v>110</v>
      </c>
      <c r="AO71" s="1416" t="s">
        <v>724</v>
      </c>
      <c r="AP71" s="1417"/>
      <c r="AQ71" s="1417"/>
      <c r="AR71" s="1417"/>
      <c r="AS71" s="1418"/>
      <c r="AT71" s="707">
        <v>3</v>
      </c>
      <c r="AU71" s="707">
        <v>2</v>
      </c>
      <c r="AV71" s="707">
        <v>2.5</v>
      </c>
      <c r="AW71" s="615" t="s">
        <v>110</v>
      </c>
      <c r="AX71" s="615" t="s">
        <v>110</v>
      </c>
      <c r="AY71" s="615" t="s">
        <v>110</v>
      </c>
      <c r="AZ71" s="615" t="s">
        <v>110</v>
      </c>
      <c r="BA71" s="615" t="s">
        <v>110</v>
      </c>
      <c r="CT71" s="753"/>
      <c r="CU71" s="753"/>
      <c r="CV71" s="753"/>
      <c r="CW71" s="753"/>
      <c r="CX71" s="753"/>
      <c r="CY71" s="753"/>
      <c r="CZ71" s="753"/>
      <c r="DA71" s="753"/>
      <c r="DB71" s="753"/>
      <c r="DC71" s="753"/>
      <c r="DD71" s="753"/>
      <c r="DE71" s="753"/>
      <c r="DF71" s="753"/>
      <c r="DG71" s="753"/>
      <c r="DH71" s="753"/>
      <c r="DI71" s="753"/>
      <c r="DJ71" s="753"/>
      <c r="DK71" s="753"/>
      <c r="DL71" s="753"/>
      <c r="DM71" s="753"/>
      <c r="DN71" s="753"/>
      <c r="DO71" s="753"/>
      <c r="DP71" s="753"/>
      <c r="DQ71" s="753"/>
      <c r="DR71" s="753"/>
      <c r="DS71" s="776"/>
      <c r="DT71" s="758"/>
      <c r="DX71" s="753"/>
      <c r="DY71" s="778"/>
      <c r="DZ71" s="770"/>
      <c r="EC71" s="819"/>
    </row>
    <row r="72" spans="1:133" ht="12.75" customHeight="1">
      <c r="A72" s="38"/>
      <c r="B72" s="38"/>
      <c r="C72" s="38"/>
      <c r="D72" s="38"/>
      <c r="E72" s="38"/>
      <c r="F72" s="38"/>
      <c r="G72" s="38"/>
      <c r="H72" s="38"/>
      <c r="I72" s="38"/>
      <c r="J72" s="1076"/>
      <c r="K72" s="1125" t="s">
        <v>965</v>
      </c>
      <c r="L72" s="1104"/>
      <c r="M72" s="1138"/>
      <c r="N72" s="1083"/>
      <c r="O72" s="1130"/>
      <c r="P72" s="1130"/>
      <c r="T72" s="1122" t="s">
        <v>975</v>
      </c>
      <c r="U72" s="1095" t="s">
        <v>976</v>
      </c>
      <c r="V72" s="1241">
        <v>2</v>
      </c>
      <c r="W72" s="1241">
        <v>1.5</v>
      </c>
      <c r="X72" s="1241">
        <v>1.5</v>
      </c>
      <c r="Y72" s="1241" t="s">
        <v>110</v>
      </c>
      <c r="Z72" s="1241" t="s">
        <v>110</v>
      </c>
      <c r="AA72" s="1241" t="s">
        <v>110</v>
      </c>
      <c r="AB72" s="1241" t="s">
        <v>110</v>
      </c>
      <c r="AC72" s="1241" t="s">
        <v>110</v>
      </c>
      <c r="AO72" s="1423" t="s">
        <v>726</v>
      </c>
      <c r="AP72" s="1411"/>
      <c r="AQ72" s="1411"/>
      <c r="AR72" s="1411"/>
      <c r="AS72" s="1412"/>
      <c r="AT72" s="667">
        <v>3.5</v>
      </c>
      <c r="AU72" s="667">
        <v>1.75</v>
      </c>
      <c r="AV72" s="667">
        <v>3</v>
      </c>
      <c r="AW72" s="653" t="s">
        <v>110</v>
      </c>
      <c r="AX72" s="653" t="s">
        <v>110</v>
      </c>
      <c r="AY72" s="653" t="s">
        <v>110</v>
      </c>
      <c r="AZ72" s="653" t="s">
        <v>110</v>
      </c>
      <c r="BA72" s="653" t="s">
        <v>110</v>
      </c>
      <c r="CT72" s="753"/>
      <c r="CU72" s="753"/>
      <c r="CV72" s="753"/>
      <c r="CW72" s="753"/>
      <c r="CX72" s="753"/>
      <c r="CY72" s="753"/>
      <c r="CZ72" s="753"/>
      <c r="DA72" s="753"/>
      <c r="DB72" s="753"/>
      <c r="DC72" s="753"/>
      <c r="DD72" s="753"/>
      <c r="DE72" s="753"/>
      <c r="DF72" s="753"/>
      <c r="DG72" s="753"/>
      <c r="DH72" s="753"/>
      <c r="DI72" s="753"/>
      <c r="DJ72" s="753"/>
      <c r="DK72" s="753"/>
      <c r="DL72" s="753"/>
      <c r="DM72" s="753"/>
      <c r="DN72" s="753"/>
      <c r="DO72" s="753"/>
      <c r="DP72" s="753"/>
      <c r="DQ72" s="753"/>
      <c r="DR72" s="753"/>
      <c r="DS72" s="776"/>
      <c r="DT72" s="758"/>
      <c r="DX72" s="753"/>
      <c r="DY72" s="778"/>
      <c r="DZ72" s="770"/>
      <c r="EC72" s="819"/>
    </row>
    <row r="73" spans="1:133" ht="12.75" customHeight="1">
      <c r="A73" s="38"/>
      <c r="B73" s="38"/>
      <c r="C73" s="38"/>
      <c r="D73" s="38"/>
      <c r="E73" s="38"/>
      <c r="F73" s="38"/>
      <c r="G73" s="38"/>
      <c r="H73" s="38"/>
      <c r="I73" s="38"/>
      <c r="J73" s="1076"/>
      <c r="K73" s="1125" t="s">
        <v>967</v>
      </c>
      <c r="L73" s="1104"/>
      <c r="M73" s="1138"/>
      <c r="N73" s="1083"/>
      <c r="O73" s="1130"/>
      <c r="P73" s="1130"/>
      <c r="T73" s="1105" t="s">
        <v>977</v>
      </c>
      <c r="U73" s="1106" t="s">
        <v>978</v>
      </c>
      <c r="V73" s="1237">
        <v>2</v>
      </c>
      <c r="W73" s="1237">
        <v>2</v>
      </c>
      <c r="X73" s="1237">
        <v>2</v>
      </c>
      <c r="Y73" s="1237" t="s">
        <v>110</v>
      </c>
      <c r="Z73" s="1237" t="s">
        <v>110</v>
      </c>
      <c r="AA73" s="1237" t="s">
        <v>110</v>
      </c>
      <c r="AB73" s="1237" t="s">
        <v>110</v>
      </c>
      <c r="AC73" s="1237" t="s">
        <v>110</v>
      </c>
      <c r="AO73" s="1424" t="s">
        <v>727</v>
      </c>
      <c r="AP73" s="1414"/>
      <c r="AQ73" s="1414"/>
      <c r="AR73" s="1414"/>
      <c r="AS73" s="1415"/>
      <c r="AT73" s="712">
        <v>3.5</v>
      </c>
      <c r="AU73" s="712">
        <v>3</v>
      </c>
      <c r="AV73" s="712">
        <v>3</v>
      </c>
      <c r="AW73" s="662" t="s">
        <v>110</v>
      </c>
      <c r="AX73" s="662" t="s">
        <v>110</v>
      </c>
      <c r="AY73" s="662" t="s">
        <v>110</v>
      </c>
      <c r="AZ73" s="713">
        <v>50</v>
      </c>
      <c r="BA73" s="713">
        <v>50</v>
      </c>
      <c r="CT73" s="753"/>
      <c r="CU73" s="753"/>
      <c r="CV73" s="753"/>
      <c r="CW73" s="753"/>
      <c r="CX73" s="753"/>
      <c r="CY73" s="753"/>
      <c r="CZ73" s="753"/>
      <c r="DA73" s="753"/>
      <c r="DB73" s="753"/>
      <c r="DC73" s="753"/>
      <c r="DD73" s="753"/>
      <c r="DE73" s="753"/>
      <c r="DF73" s="753"/>
      <c r="DG73" s="753"/>
      <c r="DH73" s="753"/>
      <c r="DI73" s="753"/>
      <c r="DJ73" s="753"/>
      <c r="DK73" s="753"/>
      <c r="DL73" s="753"/>
      <c r="DM73" s="753"/>
      <c r="DN73" s="753"/>
      <c r="DO73" s="753"/>
      <c r="DP73" s="753"/>
      <c r="DQ73" s="753"/>
      <c r="DR73" s="753"/>
      <c r="DS73" s="776"/>
      <c r="DT73" s="758"/>
      <c r="DX73" s="753"/>
      <c r="DY73" s="778"/>
      <c r="DZ73" s="770"/>
      <c r="EC73" s="819"/>
    </row>
    <row r="74" spans="1:133" ht="12.75" customHeight="1">
      <c r="A74" s="38"/>
      <c r="B74" s="38"/>
      <c r="C74" s="38"/>
      <c r="D74" s="38"/>
      <c r="E74" s="38"/>
      <c r="F74" s="38"/>
      <c r="G74" s="38"/>
      <c r="H74" s="38"/>
      <c r="I74" s="38"/>
      <c r="J74" s="1076"/>
      <c r="K74" s="1125" t="s">
        <v>969</v>
      </c>
      <c r="L74" s="1104"/>
      <c r="M74" s="1138"/>
      <c r="N74" s="1083"/>
      <c r="O74" s="1130"/>
      <c r="P74" s="1130"/>
      <c r="T74" s="1105" t="s">
        <v>979</v>
      </c>
      <c r="U74" s="1106" t="s">
        <v>980</v>
      </c>
      <c r="V74" s="1237">
        <v>2</v>
      </c>
      <c r="W74" s="1237">
        <v>2</v>
      </c>
      <c r="X74" s="1237">
        <v>2</v>
      </c>
      <c r="Y74" s="1237" t="s">
        <v>110</v>
      </c>
      <c r="Z74" s="1237" t="s">
        <v>110</v>
      </c>
      <c r="AA74" s="1237" t="s">
        <v>110</v>
      </c>
      <c r="AB74" s="1237" t="s">
        <v>110</v>
      </c>
      <c r="AC74" s="1237" t="s">
        <v>110</v>
      </c>
      <c r="AD74" s="1088"/>
      <c r="AE74" s="1088"/>
      <c r="AF74" s="1088"/>
      <c r="AO74" s="1423" t="s">
        <v>728</v>
      </c>
      <c r="AP74" s="1411"/>
      <c r="AQ74" s="1411"/>
      <c r="AR74" s="1411"/>
      <c r="AS74" s="1412"/>
      <c r="AT74" s="667">
        <v>3</v>
      </c>
      <c r="AU74" s="667">
        <v>1.5</v>
      </c>
      <c r="AV74" s="667">
        <v>3</v>
      </c>
      <c r="AW74" s="668" t="s">
        <v>110</v>
      </c>
      <c r="AX74" s="668" t="s">
        <v>110</v>
      </c>
      <c r="AY74" s="668" t="s">
        <v>110</v>
      </c>
      <c r="AZ74" s="668" t="s">
        <v>110</v>
      </c>
      <c r="BA74" s="668" t="s">
        <v>110</v>
      </c>
      <c r="CT74" s="753"/>
      <c r="CU74" s="753"/>
      <c r="CV74" s="753"/>
      <c r="CW74" s="753"/>
      <c r="CX74" s="753"/>
      <c r="CY74" s="753"/>
      <c r="CZ74" s="753"/>
      <c r="DA74" s="753"/>
      <c r="DB74" s="753"/>
      <c r="DC74" s="753"/>
      <c r="DD74" s="753"/>
      <c r="DE74" s="753"/>
      <c r="DF74" s="753"/>
      <c r="DG74" s="753"/>
      <c r="DH74" s="753"/>
      <c r="DI74" s="753"/>
      <c r="DJ74" s="753"/>
      <c r="DK74" s="753"/>
      <c r="DL74" s="753"/>
      <c r="DM74" s="753"/>
      <c r="DN74" s="753"/>
      <c r="DO74" s="753"/>
      <c r="DP74" s="753"/>
      <c r="DQ74" s="753"/>
      <c r="DR74" s="753"/>
      <c r="DS74" s="776"/>
      <c r="DT74" s="758"/>
      <c r="DX74" s="753"/>
      <c r="DY74" s="778"/>
      <c r="DZ74" s="770"/>
      <c r="EC74" s="819"/>
    </row>
    <row r="75" spans="1:133" ht="12.75" customHeight="1">
      <c r="A75" s="38"/>
      <c r="B75" s="38"/>
      <c r="C75" s="38"/>
      <c r="D75" s="38"/>
      <c r="E75" s="38"/>
      <c r="F75" s="38"/>
      <c r="G75" s="38"/>
      <c r="H75" s="38"/>
      <c r="I75" s="38"/>
      <c r="J75" s="1076"/>
      <c r="K75" s="1125" t="s">
        <v>971</v>
      </c>
      <c r="L75" s="1104"/>
      <c r="M75" s="1138"/>
      <c r="N75" s="1083"/>
      <c r="O75" s="1130"/>
      <c r="P75" s="1130"/>
      <c r="T75" s="1105" t="s">
        <v>981</v>
      </c>
      <c r="U75" s="1106" t="s">
        <v>982</v>
      </c>
      <c r="V75" s="1237">
        <v>3.5</v>
      </c>
      <c r="W75" s="1237">
        <v>1.75</v>
      </c>
      <c r="X75" s="1237">
        <v>3</v>
      </c>
      <c r="Y75" s="1237" t="s">
        <v>110</v>
      </c>
      <c r="Z75" s="1237" t="s">
        <v>110</v>
      </c>
      <c r="AA75" s="1237" t="s">
        <v>110</v>
      </c>
      <c r="AB75" s="1237" t="s">
        <v>110</v>
      </c>
      <c r="AC75" s="1237" t="s">
        <v>110</v>
      </c>
      <c r="AD75" s="1088"/>
      <c r="AE75" s="1088"/>
      <c r="AF75" s="1088"/>
      <c r="AO75" s="1407" t="s">
        <v>730</v>
      </c>
      <c r="AP75" s="1408"/>
      <c r="AQ75" s="1408"/>
      <c r="AR75" s="1408"/>
      <c r="AS75" s="1409"/>
      <c r="AT75" s="669">
        <v>1.5</v>
      </c>
      <c r="AU75" s="669">
        <v>1.5</v>
      </c>
      <c r="AV75" s="669">
        <v>1.5</v>
      </c>
      <c r="AW75" s="670" t="s">
        <v>110</v>
      </c>
      <c r="AX75" s="670" t="s">
        <v>110</v>
      </c>
      <c r="AY75" s="670" t="s">
        <v>110</v>
      </c>
      <c r="AZ75" s="670" t="s">
        <v>110</v>
      </c>
      <c r="BA75" s="670" t="s">
        <v>110</v>
      </c>
      <c r="CT75" s="753"/>
      <c r="CU75" s="753"/>
      <c r="CV75" s="753"/>
      <c r="CW75" s="753"/>
      <c r="CX75" s="753"/>
      <c r="CY75" s="753"/>
      <c r="CZ75" s="753"/>
      <c r="DA75" s="753"/>
      <c r="DB75" s="753"/>
      <c r="DC75" s="753"/>
      <c r="DD75" s="753"/>
      <c r="DE75" s="753"/>
      <c r="DF75" s="753"/>
      <c r="DG75" s="753"/>
      <c r="DH75" s="753"/>
      <c r="DI75" s="753"/>
      <c r="DJ75" s="753"/>
      <c r="DK75" s="753"/>
      <c r="DL75" s="753"/>
      <c r="DM75" s="753"/>
      <c r="DN75" s="753"/>
      <c r="DO75" s="753"/>
      <c r="DP75" s="753"/>
      <c r="DQ75" s="753"/>
      <c r="DR75" s="753"/>
      <c r="DS75" s="776"/>
      <c r="DT75" s="758"/>
      <c r="DX75" s="753"/>
      <c r="DY75" s="778"/>
      <c r="DZ75" s="770"/>
      <c r="EC75" s="819"/>
    </row>
    <row r="76" spans="1:133" ht="12.75" customHeight="1">
      <c r="A76" s="38"/>
      <c r="B76" s="38"/>
      <c r="C76" s="38"/>
      <c r="D76" s="38"/>
      <c r="E76" s="38"/>
      <c r="F76" s="38"/>
      <c r="G76" s="38"/>
      <c r="H76" s="38"/>
      <c r="I76" s="38"/>
      <c r="J76" s="1063"/>
      <c r="K76" s="1125" t="s">
        <v>973</v>
      </c>
      <c r="L76" s="1081"/>
      <c r="O76" s="1039"/>
      <c r="P76" s="1130"/>
      <c r="T76" s="1242" t="s">
        <v>983</v>
      </c>
      <c r="U76" s="1214" t="s">
        <v>984</v>
      </c>
      <c r="V76" s="1243">
        <v>1.25</v>
      </c>
      <c r="W76" s="1243">
        <v>2</v>
      </c>
      <c r="X76" s="1243">
        <v>2.5</v>
      </c>
      <c r="Y76" s="1243" t="s">
        <v>110</v>
      </c>
      <c r="Z76" s="1243">
        <v>50</v>
      </c>
      <c r="AA76" s="1243">
        <v>50</v>
      </c>
      <c r="AB76" s="1243">
        <v>50</v>
      </c>
      <c r="AC76" s="1243">
        <v>50</v>
      </c>
      <c r="AD76" s="1088"/>
      <c r="AE76" s="1088"/>
      <c r="AF76" s="1088"/>
      <c r="AO76" s="1407" t="s">
        <v>732</v>
      </c>
      <c r="AP76" s="1408"/>
      <c r="AQ76" s="1408"/>
      <c r="AR76" s="1408"/>
      <c r="AS76" s="1409"/>
      <c r="AT76" s="596">
        <v>1.5</v>
      </c>
      <c r="AU76" s="596">
        <v>1.5</v>
      </c>
      <c r="AV76" s="596">
        <v>1.5</v>
      </c>
      <c r="AW76" s="594" t="s">
        <v>110</v>
      </c>
      <c r="AX76" s="594" t="s">
        <v>110</v>
      </c>
      <c r="AY76" s="594" t="s">
        <v>110</v>
      </c>
      <c r="AZ76" s="594" t="s">
        <v>110</v>
      </c>
      <c r="BA76" s="594" t="s">
        <v>110</v>
      </c>
      <c r="CT76" s="753"/>
      <c r="CU76" s="753"/>
      <c r="CV76" s="753"/>
      <c r="CW76" s="753"/>
      <c r="CX76" s="753"/>
      <c r="CY76" s="753"/>
      <c r="CZ76" s="753"/>
      <c r="DA76" s="753"/>
      <c r="DB76" s="753"/>
      <c r="DC76" s="753"/>
      <c r="DD76" s="753"/>
      <c r="DE76" s="753"/>
      <c r="DF76" s="753"/>
      <c r="DG76" s="753"/>
      <c r="DH76" s="753"/>
      <c r="DI76" s="753"/>
      <c r="DJ76" s="753"/>
      <c r="DK76" s="753"/>
      <c r="DL76" s="753"/>
      <c r="DM76" s="753"/>
      <c r="DN76" s="753"/>
      <c r="DO76" s="753"/>
      <c r="DP76" s="753"/>
      <c r="DQ76" s="753"/>
      <c r="DR76" s="753"/>
      <c r="DS76" s="776"/>
      <c r="DT76" s="758"/>
      <c r="DX76" s="753"/>
      <c r="DY76" s="778"/>
      <c r="DZ76" s="770"/>
      <c r="EC76" s="819"/>
    </row>
    <row r="77" spans="1:133" ht="12.75" customHeight="1">
      <c r="A77" s="38"/>
      <c r="B77" s="741"/>
      <c r="C77" s="741"/>
      <c r="D77" s="741"/>
      <c r="E77" s="741"/>
      <c r="F77" s="741"/>
      <c r="G77" s="741"/>
      <c r="H77" s="741"/>
      <c r="I77" s="38"/>
      <c r="J77" s="1063"/>
      <c r="K77" s="1125" t="s">
        <v>975</v>
      </c>
      <c r="L77" s="1081"/>
      <c r="O77" s="1039"/>
      <c r="P77" s="1130"/>
      <c r="T77" s="1110"/>
      <c r="U77" s="1110"/>
      <c r="V77" s="1088"/>
      <c r="W77" s="1088"/>
      <c r="X77" s="1088"/>
      <c r="Y77" s="1088"/>
      <c r="Z77" s="1088"/>
      <c r="AA77" s="1088"/>
      <c r="AB77" s="1088"/>
      <c r="AC77" s="1088"/>
      <c r="AD77" s="1088"/>
      <c r="AE77" s="1088"/>
      <c r="AF77" s="1088"/>
      <c r="AO77" s="1407" t="s">
        <v>733</v>
      </c>
      <c r="AP77" s="1408"/>
      <c r="AQ77" s="1408"/>
      <c r="AR77" s="1408"/>
      <c r="AS77" s="1409"/>
      <c r="AT77" s="596">
        <v>1.5</v>
      </c>
      <c r="AU77" s="596">
        <v>1.5</v>
      </c>
      <c r="AV77" s="596">
        <v>1.5</v>
      </c>
      <c r="AW77" s="594" t="s">
        <v>110</v>
      </c>
      <c r="AX77" s="594" t="s">
        <v>110</v>
      </c>
      <c r="AY77" s="594" t="s">
        <v>110</v>
      </c>
      <c r="AZ77" s="594" t="s">
        <v>110</v>
      </c>
      <c r="BA77" s="594" t="s">
        <v>110</v>
      </c>
      <c r="CT77" s="753"/>
      <c r="CU77" s="753"/>
      <c r="CV77" s="753"/>
      <c r="CW77" s="753"/>
      <c r="CX77" s="753"/>
      <c r="CY77" s="753"/>
      <c r="CZ77" s="753"/>
      <c r="DA77" s="753"/>
      <c r="DB77" s="753"/>
      <c r="DC77" s="753"/>
      <c r="DD77" s="753"/>
      <c r="DE77" s="753"/>
      <c r="DF77" s="753"/>
      <c r="DG77" s="753"/>
      <c r="DH77" s="753"/>
      <c r="DI77" s="753"/>
      <c r="DJ77" s="753"/>
      <c r="DK77" s="753"/>
      <c r="DL77" s="753"/>
      <c r="DM77" s="753"/>
      <c r="DN77" s="753"/>
      <c r="DO77" s="753"/>
      <c r="DP77" s="753"/>
      <c r="DQ77" s="753"/>
      <c r="DR77" s="753"/>
      <c r="DS77" s="776"/>
      <c r="DT77" s="758"/>
      <c r="DX77" s="753"/>
      <c r="DY77" s="778"/>
      <c r="DZ77" s="770"/>
      <c r="EC77" s="819"/>
    </row>
    <row r="78" spans="1:133" ht="12.75" customHeight="1">
      <c r="A78" s="38"/>
      <c r="B78" s="742"/>
      <c r="C78" s="743"/>
      <c r="D78" s="304"/>
      <c r="E78" s="304"/>
      <c r="F78" s="743"/>
      <c r="G78" s="743"/>
      <c r="H78" s="741"/>
      <c r="I78" s="38"/>
      <c r="J78" s="1063"/>
      <c r="K78" s="1125" t="s">
        <v>977</v>
      </c>
      <c r="L78" s="1081"/>
      <c r="O78" s="1039"/>
      <c r="P78" s="1130"/>
      <c r="T78" s="1066"/>
      <c r="U78" s="1068"/>
      <c r="V78" s="1073"/>
      <c r="W78" s="1187"/>
      <c r="X78" s="1073"/>
      <c r="Y78" s="1188" t="s">
        <v>629</v>
      </c>
      <c r="Z78" s="1112"/>
      <c r="AA78" s="1112"/>
      <c r="AB78" s="1112"/>
      <c r="AC78" s="1114"/>
      <c r="AD78" s="1115"/>
      <c r="AE78" s="1073"/>
      <c r="AF78" s="1061"/>
      <c r="AO78" s="1407" t="s">
        <v>734</v>
      </c>
      <c r="AP78" s="1408"/>
      <c r="AQ78" s="1408"/>
      <c r="AR78" s="1408"/>
      <c r="AS78" s="1409"/>
      <c r="AT78" s="596">
        <v>3</v>
      </c>
      <c r="AU78" s="596">
        <v>1.5</v>
      </c>
      <c r="AV78" s="596">
        <v>1.5</v>
      </c>
      <c r="AW78" s="594" t="s">
        <v>110</v>
      </c>
      <c r="AX78" s="594" t="s">
        <v>110</v>
      </c>
      <c r="AY78" s="594" t="s">
        <v>110</v>
      </c>
      <c r="AZ78" s="594" t="s">
        <v>110</v>
      </c>
      <c r="BA78" s="594" t="s">
        <v>110</v>
      </c>
      <c r="CT78" s="753"/>
      <c r="CU78" s="753"/>
      <c r="CV78" s="753"/>
      <c r="CW78" s="753"/>
      <c r="CX78" s="753"/>
      <c r="CY78" s="753"/>
      <c r="CZ78" s="753"/>
      <c r="DA78" s="753"/>
      <c r="DB78" s="753"/>
      <c r="DC78" s="753"/>
      <c r="DD78" s="753"/>
      <c r="DE78" s="753"/>
      <c r="DF78" s="753"/>
      <c r="DG78" s="753"/>
      <c r="DH78" s="753"/>
      <c r="DI78" s="753"/>
      <c r="DJ78" s="753"/>
      <c r="DK78" s="753"/>
      <c r="DL78" s="753"/>
      <c r="DM78" s="753"/>
      <c r="DN78" s="753"/>
      <c r="DO78" s="753"/>
      <c r="DP78" s="753"/>
      <c r="DQ78" s="753"/>
      <c r="DR78" s="753"/>
      <c r="DS78" s="776"/>
      <c r="DT78" s="758"/>
      <c r="DX78" s="753"/>
      <c r="DY78" s="778"/>
      <c r="DZ78" s="770"/>
      <c r="EC78" s="819"/>
    </row>
    <row r="79" spans="1:133" ht="12.75" customHeight="1">
      <c r="A79" s="38"/>
      <c r="B79" s="744"/>
      <c r="C79" s="745"/>
      <c r="D79" s="746"/>
      <c r="E79" s="747"/>
      <c r="F79" s="746"/>
      <c r="G79" s="746"/>
      <c r="H79" s="746"/>
      <c r="I79" s="38"/>
      <c r="J79" s="1063"/>
      <c r="K79" s="1125" t="s">
        <v>979</v>
      </c>
      <c r="L79" s="1081"/>
      <c r="O79" s="1039"/>
      <c r="P79" s="1130"/>
      <c r="T79" s="1069" t="s">
        <v>631</v>
      </c>
      <c r="U79" s="1071"/>
      <c r="V79" s="1074" t="s">
        <v>109</v>
      </c>
      <c r="W79" s="1119" t="s">
        <v>13</v>
      </c>
      <c r="X79" s="1074" t="s">
        <v>155</v>
      </c>
      <c r="Y79" s="1189" t="s">
        <v>111</v>
      </c>
      <c r="Z79" s="1074" t="s">
        <v>33</v>
      </c>
      <c r="AA79" s="1074" t="s">
        <v>32</v>
      </c>
      <c r="AB79" s="1074" t="s">
        <v>35</v>
      </c>
      <c r="AC79" s="1074" t="s">
        <v>36</v>
      </c>
      <c r="AD79" s="1119" t="s">
        <v>62</v>
      </c>
      <c r="AE79" s="1119" t="s">
        <v>668</v>
      </c>
      <c r="AF79" s="1090" t="s">
        <v>150</v>
      </c>
      <c r="AO79" s="1407" t="s">
        <v>735</v>
      </c>
      <c r="AP79" s="1408"/>
      <c r="AQ79" s="1408"/>
      <c r="AR79" s="1408"/>
      <c r="AS79" s="1409"/>
      <c r="AT79" s="596">
        <v>1.5</v>
      </c>
      <c r="AU79" s="596">
        <v>1.5</v>
      </c>
      <c r="AV79" s="596">
        <v>1.5</v>
      </c>
      <c r="AW79" s="594" t="s">
        <v>110</v>
      </c>
      <c r="AX79" s="594" t="s">
        <v>110</v>
      </c>
      <c r="AY79" s="594" t="s">
        <v>110</v>
      </c>
      <c r="AZ79" s="594" t="s">
        <v>110</v>
      </c>
      <c r="BA79" s="594" t="s">
        <v>110</v>
      </c>
      <c r="CT79" s="753"/>
      <c r="CU79" s="753"/>
      <c r="CV79" s="753"/>
      <c r="CW79" s="753"/>
      <c r="CX79" s="753"/>
      <c r="CY79" s="753"/>
      <c r="CZ79" s="753"/>
      <c r="DA79" s="753"/>
      <c r="DB79" s="753"/>
      <c r="DC79" s="753"/>
      <c r="DD79" s="753"/>
      <c r="DE79" s="753"/>
      <c r="DF79" s="753"/>
      <c r="DG79" s="753"/>
      <c r="DH79" s="753"/>
      <c r="DI79" s="753"/>
      <c r="DJ79" s="753"/>
      <c r="DK79" s="753"/>
      <c r="DL79" s="753"/>
      <c r="DM79" s="753"/>
      <c r="DN79" s="753"/>
      <c r="DO79" s="753"/>
      <c r="DP79" s="753"/>
      <c r="DQ79" s="753"/>
      <c r="DR79" s="753"/>
      <c r="DS79" s="776"/>
      <c r="DT79" s="758"/>
      <c r="DX79" s="753"/>
      <c r="DY79" s="778"/>
      <c r="DZ79" s="770"/>
      <c r="EC79" s="819"/>
    </row>
    <row r="80" spans="1:133" ht="12.75" customHeight="1">
      <c r="A80" s="38"/>
      <c r="B80" s="744"/>
      <c r="C80" s="745"/>
      <c r="D80" s="746"/>
      <c r="E80" s="747"/>
      <c r="F80" s="746"/>
      <c r="G80" s="746"/>
      <c r="H80" s="746"/>
      <c r="I80" s="38"/>
      <c r="J80" s="1063"/>
      <c r="K80" s="1125" t="s">
        <v>981</v>
      </c>
      <c r="L80" s="1081"/>
      <c r="O80" s="1039"/>
      <c r="P80" s="1130"/>
      <c r="T80" s="1244" t="str">
        <f>$C$18</f>
        <v>17a</v>
      </c>
      <c r="U80" s="1245" t="str">
        <f>VLOOKUP($C$18,$T$7:$AC$76,2, FALSE)</f>
        <v>Signs and billboards</v>
      </c>
      <c r="V80" s="1073">
        <f>VLOOKUP($C$18,$T$7:$AC$76,3, FALSE)</f>
        <v>3.5</v>
      </c>
      <c r="W80" s="1073">
        <f>VLOOKUP($C$18,$T$7:$AC$76,4, FALSE)</f>
        <v>1.75</v>
      </c>
      <c r="X80" s="1073">
        <f>VLOOKUP($C$18,$T$7:$AC$76,5, FALSE)</f>
        <v>3</v>
      </c>
      <c r="Y80" s="1073" t="str">
        <f>VLOOKUP($C$18,$T$7:$AC$76,6, FALSE)</f>
        <v>NL</v>
      </c>
      <c r="Z80" s="1073" t="str">
        <f>VLOOKUP($C$18,$T$7:$AC$76,7, FALSE)</f>
        <v>NL</v>
      </c>
      <c r="AA80" s="1073" t="str">
        <f>VLOOKUP($C$18,$T$7:$AC$76,8, FALSE)</f>
        <v>NL</v>
      </c>
      <c r="AB80" s="1073" t="str">
        <f>VLOOKUP($C$18,$T$7:$AC$76,9, FALSE)</f>
        <v>NL</v>
      </c>
      <c r="AC80" s="1073" t="str">
        <f>VLOOKUP($C$18,$T$7:$AC$76,10, FALSE)</f>
        <v>NL</v>
      </c>
      <c r="AD80" s="1073" t="str">
        <f>$C$37</f>
        <v>E</v>
      </c>
      <c r="AE80" s="1246">
        <f>$C$15</f>
        <v>13</v>
      </c>
      <c r="AO80" s="1413" t="s">
        <v>738</v>
      </c>
      <c r="AP80" s="1414"/>
      <c r="AQ80" s="1414"/>
      <c r="AR80" s="1414"/>
      <c r="AS80" s="1415"/>
      <c r="AT80" s="614">
        <v>2</v>
      </c>
      <c r="AU80" s="614">
        <v>1.5</v>
      </c>
      <c r="AV80" s="614">
        <v>1.5</v>
      </c>
      <c r="AW80" s="714" t="s">
        <v>110</v>
      </c>
      <c r="AX80" s="714" t="s">
        <v>110</v>
      </c>
      <c r="AY80" s="714" t="s">
        <v>110</v>
      </c>
      <c r="AZ80" s="714" t="s">
        <v>110</v>
      </c>
      <c r="BA80" s="714" t="s">
        <v>110</v>
      </c>
      <c r="CT80" s="753"/>
      <c r="CU80" s="753"/>
      <c r="CV80" s="753"/>
      <c r="CW80" s="753"/>
      <c r="CX80" s="753"/>
      <c r="CY80" s="753"/>
      <c r="CZ80" s="753"/>
      <c r="DA80" s="753"/>
      <c r="DB80" s="753"/>
      <c r="DC80" s="753"/>
      <c r="DD80" s="753"/>
      <c r="DE80" s="753"/>
      <c r="DF80" s="753"/>
      <c r="DG80" s="753"/>
      <c r="DH80" s="753"/>
      <c r="DI80" s="753"/>
      <c r="DJ80" s="753"/>
      <c r="DK80" s="753"/>
      <c r="DL80" s="753"/>
      <c r="DM80" s="753"/>
      <c r="DN80" s="753"/>
      <c r="DO80" s="753"/>
      <c r="DP80" s="753"/>
      <c r="DQ80" s="753"/>
      <c r="DR80" s="753"/>
      <c r="DS80" s="776"/>
      <c r="DT80" s="758"/>
      <c r="DX80" s="753"/>
      <c r="DY80" s="778"/>
      <c r="DZ80" s="770"/>
      <c r="EC80" s="819"/>
    </row>
    <row r="81" spans="1:133" ht="12.75" customHeight="1">
      <c r="A81" s="38"/>
      <c r="B81" s="744"/>
      <c r="C81" s="745"/>
      <c r="D81" s="746"/>
      <c r="E81" s="747"/>
      <c r="F81" s="746"/>
      <c r="G81" s="746"/>
      <c r="H81" s="746"/>
      <c r="I81" s="38"/>
      <c r="J81" s="1063"/>
      <c r="K81" s="1125" t="s">
        <v>983</v>
      </c>
      <c r="L81" s="1081"/>
      <c r="O81" s="1039"/>
      <c r="P81" s="1130"/>
      <c r="T81" s="1242"/>
      <c r="U81" s="1247"/>
      <c r="V81" s="1243"/>
      <c r="W81" s="1243"/>
      <c r="X81" s="1243"/>
      <c r="Y81" s="1243" t="str">
        <f>IF(OR($AD$80="A",$AD$80="B"),IF($Y$80="NP","N.P.",IF($Y$80="NL","O.K.",IF(AND($Y$80&gt;0,$Y$80&gt;=$AE$80),"O.K."))),"N.A.")</f>
        <v>N.A.</v>
      </c>
      <c r="Z81" s="1243" t="str">
        <f>IF($AD$80="C",IF($Z$80="NP","N.P.",IF($Z$80="NL","O.K.",IF(AND($Z$80&gt;0,$Z$80&gt;=$AE$80),"O.K.", "N.P."))),"N.A.")</f>
        <v>N.A.</v>
      </c>
      <c r="AA81" s="1243" t="str">
        <f>IF($AD$80="D",IF($AA$80="NP","N.P.",IF($AA$80="NL","O.K.",IF(AND($AA$80&gt;0,$AA$80&gt;=$AE$80),"O.K.", "N.P."))),"N.A.")</f>
        <v>N.A.</v>
      </c>
      <c r="AB81" s="1243" t="str">
        <f>IF(OR($AD$80="E",$AD$80="F"),IF($AC$80="NP","N.P.",IF($AC$80="NL","O.K.",IF(AND($AC$80&gt;0,$AC$80&gt;=$AE$80),"O.K.", "N.P."))),"N.A.")</f>
        <v>O.K.</v>
      </c>
      <c r="AC81" s="1243" t="str">
        <f>IF(OR($AD$80="E",$AD$80="F"),IF($AC$80="NP","N.P.",IF($AC$80="NL","O.K.",IF(AND($AC$80&gt;0,$AC$80&gt;=$AE$80),"O.K.", "N.P."))),"N.A.")</f>
        <v>O.K.</v>
      </c>
      <c r="AD81" s="1119"/>
      <c r="AE81" s="1119"/>
      <c r="AF81" s="1090" t="str">
        <f>IF(OR($AD$80="A",$AD$80="B"),$Y$81,IF($AD$80="C",$Z$81,IF($AD$80="D",$AA$81,IF(OR($AD$80="E",$AD$80="F"),$AC$81))))</f>
        <v>O.K.</v>
      </c>
      <c r="AO81" s="1416" t="s">
        <v>742</v>
      </c>
      <c r="AP81" s="1417"/>
      <c r="AQ81" s="1417"/>
      <c r="AR81" s="1417"/>
      <c r="AS81" s="1418"/>
      <c r="AT81" s="707">
        <v>2</v>
      </c>
      <c r="AU81" s="707">
        <v>2</v>
      </c>
      <c r="AV81" s="707">
        <v>2</v>
      </c>
      <c r="AW81" s="615" t="s">
        <v>110</v>
      </c>
      <c r="AX81" s="615" t="s">
        <v>110</v>
      </c>
      <c r="AY81" s="615" t="s">
        <v>110</v>
      </c>
      <c r="AZ81" s="615" t="s">
        <v>110</v>
      </c>
      <c r="BA81" s="615" t="s">
        <v>110</v>
      </c>
      <c r="CT81" s="753"/>
      <c r="CU81" s="753"/>
      <c r="CV81" s="753"/>
      <c r="CW81" s="753"/>
      <c r="CX81" s="753"/>
      <c r="CY81" s="753"/>
      <c r="CZ81" s="753"/>
      <c r="DA81" s="753"/>
      <c r="DB81" s="753"/>
      <c r="DC81" s="753"/>
      <c r="DD81" s="753"/>
      <c r="DE81" s="753"/>
      <c r="DF81" s="753"/>
      <c r="DG81" s="753"/>
      <c r="DH81" s="753"/>
      <c r="DI81" s="753"/>
      <c r="DJ81" s="753"/>
      <c r="DK81" s="753"/>
      <c r="DL81" s="753"/>
      <c r="DM81" s="753"/>
      <c r="DN81" s="753"/>
      <c r="DO81" s="753"/>
      <c r="DP81" s="753"/>
      <c r="DQ81" s="753"/>
      <c r="DR81" s="753"/>
      <c r="DS81" s="776"/>
      <c r="DT81" s="758"/>
      <c r="DX81" s="753"/>
      <c r="DY81" s="778"/>
      <c r="DZ81" s="770"/>
      <c r="EC81" s="819"/>
    </row>
    <row r="82" spans="1:133" ht="12.75" customHeight="1">
      <c r="A82" s="38"/>
      <c r="B82" s="744"/>
      <c r="C82" s="745"/>
      <c r="D82" s="738"/>
      <c r="E82" s="747"/>
      <c r="F82" s="746"/>
      <c r="G82" s="746"/>
      <c r="H82" s="746"/>
      <c r="I82" s="38"/>
      <c r="J82" s="1063"/>
      <c r="K82" s="1125"/>
      <c r="L82" s="1081"/>
      <c r="O82" s="1039"/>
      <c r="P82" s="1130"/>
      <c r="T82" s="1134"/>
      <c r="U82" s="1110"/>
      <c r="V82" s="1135"/>
      <c r="W82" s="1135"/>
      <c r="X82" s="1135"/>
      <c r="Y82" s="1088"/>
      <c r="Z82" s="1088"/>
      <c r="AA82" s="1088"/>
      <c r="AB82" s="1088"/>
      <c r="AC82" s="1088"/>
      <c r="AD82" s="1088"/>
      <c r="AE82" s="1088"/>
      <c r="AF82" s="1088"/>
      <c r="AO82" s="1416" t="s">
        <v>743</v>
      </c>
      <c r="AP82" s="1417"/>
      <c r="AQ82" s="1417"/>
      <c r="AR82" s="1417"/>
      <c r="AS82" s="1418"/>
      <c r="AT82" s="707">
        <v>2</v>
      </c>
      <c r="AU82" s="707">
        <v>2</v>
      </c>
      <c r="AV82" s="707">
        <v>2</v>
      </c>
      <c r="AW82" s="615" t="s">
        <v>110</v>
      </c>
      <c r="AX82" s="615" t="s">
        <v>110</v>
      </c>
      <c r="AY82" s="615" t="s">
        <v>110</v>
      </c>
      <c r="AZ82" s="615" t="s">
        <v>110</v>
      </c>
      <c r="BA82" s="615" t="s">
        <v>110</v>
      </c>
      <c r="CT82" s="753"/>
      <c r="CU82" s="753"/>
      <c r="CV82" s="753"/>
      <c r="CW82" s="753"/>
      <c r="CX82" s="753"/>
      <c r="CY82" s="753"/>
      <c r="CZ82" s="753"/>
      <c r="DA82" s="753"/>
      <c r="DB82" s="753"/>
      <c r="DC82" s="753"/>
      <c r="DD82" s="753"/>
      <c r="DE82" s="753"/>
      <c r="DF82" s="753"/>
      <c r="DG82" s="753"/>
      <c r="DH82" s="753"/>
      <c r="DI82" s="753"/>
      <c r="DJ82" s="753"/>
      <c r="DK82" s="753"/>
      <c r="DL82" s="753"/>
      <c r="DM82" s="753"/>
      <c r="DN82" s="753"/>
      <c r="DO82" s="753"/>
      <c r="DP82" s="753"/>
      <c r="DQ82" s="753"/>
      <c r="DR82" s="753"/>
      <c r="DS82" s="776"/>
      <c r="DT82" s="758"/>
      <c r="DX82" s="753"/>
      <c r="DY82" s="778"/>
      <c r="DZ82" s="770"/>
      <c r="EC82" s="819"/>
    </row>
    <row r="83" spans="1:133" ht="12.75" customHeight="1">
      <c r="A83" s="38"/>
      <c r="B83" s="744"/>
      <c r="C83" s="745"/>
      <c r="D83" s="738"/>
      <c r="E83" s="747"/>
      <c r="F83" s="746"/>
      <c r="G83" s="746"/>
      <c r="H83" s="746"/>
      <c r="I83" s="38"/>
      <c r="J83" s="1063"/>
      <c r="K83" s="1125"/>
      <c r="L83" s="1081"/>
      <c r="O83" s="1039"/>
      <c r="P83" s="1130"/>
      <c r="T83" s="1134"/>
      <c r="U83" s="1110"/>
      <c r="V83" s="1135"/>
      <c r="W83" s="1135"/>
      <c r="X83" s="1135"/>
      <c r="Y83" s="1088"/>
      <c r="Z83" s="1088"/>
      <c r="AA83" s="1088"/>
      <c r="AB83" s="1088"/>
      <c r="AC83" s="1088"/>
      <c r="AD83" s="1088"/>
      <c r="AE83" s="1088"/>
      <c r="AF83" s="1088"/>
      <c r="AO83" s="1416" t="s">
        <v>744</v>
      </c>
      <c r="AP83" s="1417"/>
      <c r="AQ83" s="1417"/>
      <c r="AR83" s="1417"/>
      <c r="AS83" s="1418"/>
      <c r="AT83" s="715">
        <v>3.5</v>
      </c>
      <c r="AU83" s="707">
        <v>1.75</v>
      </c>
      <c r="AV83" s="707">
        <v>3</v>
      </c>
      <c r="AW83" s="615" t="s">
        <v>110</v>
      </c>
      <c r="AX83" s="615" t="s">
        <v>110</v>
      </c>
      <c r="AY83" s="615" t="s">
        <v>110</v>
      </c>
      <c r="AZ83" s="615" t="s">
        <v>110</v>
      </c>
      <c r="BA83" s="615" t="s">
        <v>110</v>
      </c>
      <c r="CT83" s="753"/>
      <c r="CU83" s="753"/>
      <c r="CV83" s="753"/>
      <c r="CW83" s="753"/>
      <c r="CX83" s="753"/>
      <c r="CY83" s="753"/>
      <c r="CZ83" s="753"/>
      <c r="DA83" s="753"/>
      <c r="DB83" s="753"/>
      <c r="DC83" s="753"/>
      <c r="DD83" s="753"/>
      <c r="DE83" s="753"/>
      <c r="DF83" s="753"/>
      <c r="DG83" s="753"/>
      <c r="DH83" s="753"/>
      <c r="DI83" s="753"/>
      <c r="DJ83" s="753"/>
      <c r="DK83" s="753"/>
      <c r="DL83" s="753"/>
      <c r="DM83" s="753"/>
      <c r="DN83" s="753"/>
      <c r="DO83" s="753"/>
      <c r="DP83" s="753"/>
      <c r="DQ83" s="753"/>
      <c r="DR83" s="753"/>
      <c r="DS83" s="776"/>
      <c r="DT83" s="758"/>
      <c r="DX83" s="753"/>
      <c r="DY83" s="778"/>
      <c r="DZ83" s="770"/>
      <c r="EC83" s="819"/>
    </row>
    <row r="84" spans="1:133" ht="12.75" customHeight="1">
      <c r="A84" s="38"/>
      <c r="B84" s="744"/>
      <c r="C84" s="745"/>
      <c r="D84" s="738"/>
      <c r="E84" s="747"/>
      <c r="F84" s="746"/>
      <c r="G84" s="746"/>
      <c r="H84" s="746"/>
      <c r="I84" s="38"/>
      <c r="J84" s="1063"/>
      <c r="K84" s="1125"/>
      <c r="L84" s="1081"/>
      <c r="O84" s="1039"/>
      <c r="P84" s="1130"/>
      <c r="T84" s="1134"/>
      <c r="U84" s="1110"/>
      <c r="V84" s="1135"/>
      <c r="W84" s="1135"/>
      <c r="X84" s="1135"/>
      <c r="Y84" s="1088"/>
      <c r="Z84" s="1088"/>
      <c r="AA84" s="1088"/>
      <c r="AB84" s="1088"/>
      <c r="AC84" s="1088"/>
      <c r="AD84" s="1088"/>
      <c r="AE84" s="1088"/>
      <c r="AF84" s="1088"/>
      <c r="AO84" s="1416" t="s">
        <v>745</v>
      </c>
      <c r="AP84" s="1417"/>
      <c r="AQ84" s="1417"/>
      <c r="AR84" s="1417"/>
      <c r="AS84" s="1418"/>
      <c r="AT84" s="716">
        <v>1.25</v>
      </c>
      <c r="AU84" s="716">
        <v>2</v>
      </c>
      <c r="AV84" s="716">
        <v>2.5</v>
      </c>
      <c r="AW84" s="717" t="s">
        <v>110</v>
      </c>
      <c r="AX84" s="716">
        <v>50</v>
      </c>
      <c r="AY84" s="716">
        <v>50</v>
      </c>
      <c r="AZ84" s="716">
        <v>50</v>
      </c>
      <c r="BA84" s="716">
        <v>50</v>
      </c>
      <c r="CT84" s="753"/>
      <c r="CU84" s="753"/>
      <c r="CV84" s="753"/>
      <c r="CW84" s="753"/>
      <c r="CX84" s="753"/>
      <c r="CY84" s="753"/>
      <c r="CZ84" s="753"/>
      <c r="DA84" s="753"/>
      <c r="DB84" s="753"/>
      <c r="DC84" s="753"/>
      <c r="DD84" s="753"/>
      <c r="DE84" s="753"/>
      <c r="DF84" s="753"/>
      <c r="DG84" s="753"/>
      <c r="DH84" s="753"/>
      <c r="DI84" s="753"/>
      <c r="DJ84" s="753"/>
      <c r="DK84" s="753"/>
      <c r="DL84" s="753"/>
      <c r="DM84" s="753"/>
      <c r="DN84" s="753"/>
      <c r="DO84" s="753"/>
      <c r="DP84" s="753"/>
      <c r="DQ84" s="753"/>
      <c r="DR84" s="753"/>
      <c r="DS84" s="776"/>
      <c r="DT84" s="758"/>
      <c r="DX84" s="753"/>
      <c r="DY84" s="778"/>
      <c r="DZ84" s="770"/>
      <c r="EC84" s="819"/>
    </row>
    <row r="85" spans="1:133" ht="12.75" customHeight="1">
      <c r="A85" s="38"/>
      <c r="B85" s="744"/>
      <c r="C85" s="745"/>
      <c r="D85" s="738"/>
      <c r="E85" s="747"/>
      <c r="F85" s="746"/>
      <c r="G85" s="746"/>
      <c r="H85" s="746"/>
      <c r="I85" s="38"/>
      <c r="J85" s="1139"/>
      <c r="K85" s="1125"/>
      <c r="L85" s="1139"/>
      <c r="M85" s="1139"/>
      <c r="O85" s="1039"/>
      <c r="P85" s="1130"/>
      <c r="T85" s="1134"/>
      <c r="U85" s="1110"/>
      <c r="V85" s="1135"/>
      <c r="W85" s="1135"/>
      <c r="X85" s="1135"/>
      <c r="Y85" s="1088"/>
      <c r="Z85" s="1088"/>
      <c r="AA85" s="1088"/>
      <c r="AB85" s="1088"/>
      <c r="AC85" s="1088"/>
      <c r="AD85" s="1088"/>
      <c r="AE85" s="1088"/>
      <c r="AF85" s="1088"/>
      <c r="CT85" s="753"/>
      <c r="CU85" s="753"/>
      <c r="CV85" s="753"/>
      <c r="CW85" s="753"/>
      <c r="CX85" s="753"/>
      <c r="CY85" s="753"/>
      <c r="CZ85" s="753"/>
      <c r="DA85" s="753"/>
      <c r="DB85" s="753"/>
      <c r="DC85" s="753"/>
      <c r="DD85" s="753"/>
      <c r="DE85" s="753"/>
      <c r="DF85" s="753"/>
      <c r="DG85" s="753"/>
      <c r="DH85" s="753"/>
      <c r="DI85" s="753"/>
      <c r="DJ85" s="753"/>
      <c r="DK85" s="753"/>
      <c r="DL85" s="753"/>
      <c r="DM85" s="753"/>
      <c r="DN85" s="753"/>
      <c r="DO85" s="753"/>
      <c r="DP85" s="753"/>
      <c r="DQ85" s="753"/>
      <c r="DR85" s="753"/>
      <c r="DS85" s="776"/>
      <c r="DT85" s="758"/>
      <c r="DX85" s="753"/>
      <c r="DY85" s="778"/>
      <c r="DZ85" s="770"/>
      <c r="EC85" s="819"/>
    </row>
    <row r="86" spans="1:133" ht="12.75" customHeight="1">
      <c r="A86" s="38"/>
      <c r="B86" s="744"/>
      <c r="C86" s="745"/>
      <c r="D86" s="738"/>
      <c r="E86" s="747"/>
      <c r="F86" s="746"/>
      <c r="G86" s="746"/>
      <c r="H86" s="746"/>
      <c r="I86" s="38"/>
      <c r="J86" s="1139"/>
      <c r="K86" s="1125"/>
      <c r="L86" s="1139"/>
      <c r="M86" s="1139"/>
      <c r="O86" s="1039"/>
      <c r="P86" s="1130"/>
      <c r="T86" s="1134"/>
      <c r="U86" s="1110"/>
      <c r="V86" s="1135"/>
      <c r="W86" s="1135"/>
      <c r="X86" s="1135"/>
      <c r="Y86" s="1088"/>
      <c r="Z86" s="1088"/>
      <c r="AA86" s="1088"/>
      <c r="AB86" s="1088"/>
      <c r="AC86" s="1088"/>
      <c r="AD86" s="1088"/>
      <c r="AE86" s="1088"/>
      <c r="AF86" s="1088"/>
      <c r="AO86" s="617" t="s">
        <v>104</v>
      </c>
      <c r="CT86" s="753"/>
      <c r="CU86" s="753"/>
      <c r="CV86" s="753"/>
      <c r="CW86" s="753"/>
      <c r="CX86" s="753"/>
      <c r="CY86" s="753"/>
      <c r="CZ86" s="753"/>
      <c r="DA86" s="753"/>
      <c r="DB86" s="753"/>
      <c r="DC86" s="753"/>
      <c r="DD86" s="753"/>
      <c r="DE86" s="753"/>
      <c r="DF86" s="753"/>
      <c r="DG86" s="753"/>
      <c r="DH86" s="753"/>
      <c r="DI86" s="753"/>
      <c r="DJ86" s="753"/>
      <c r="DK86" s="753"/>
      <c r="DL86" s="753"/>
      <c r="DM86" s="753"/>
      <c r="DN86" s="753"/>
      <c r="DO86" s="753"/>
      <c r="DP86" s="753"/>
      <c r="DQ86" s="753"/>
      <c r="DR86" s="753"/>
      <c r="DS86" s="776"/>
      <c r="DT86" s="758"/>
      <c r="DX86" s="753"/>
      <c r="DY86" s="778"/>
      <c r="DZ86" s="770"/>
      <c r="EC86" s="819"/>
    </row>
    <row r="87" spans="1:133" ht="12.75" customHeight="1">
      <c r="A87" s="38"/>
      <c r="B87" s="744"/>
      <c r="C87" s="745"/>
      <c r="D87" s="738"/>
      <c r="E87" s="747"/>
      <c r="F87" s="746"/>
      <c r="G87" s="746"/>
      <c r="H87" s="746"/>
      <c r="I87" s="38"/>
      <c r="J87" s="1140"/>
      <c r="K87" s="1125"/>
      <c r="L87" s="1141"/>
      <c r="M87" s="1142"/>
      <c r="O87" s="1039"/>
      <c r="P87" s="1130"/>
      <c r="T87" s="1134"/>
      <c r="U87" s="1110"/>
      <c r="V87" s="1135"/>
      <c r="W87" s="1135"/>
      <c r="X87" s="1135"/>
      <c r="Y87" s="1088"/>
      <c r="Z87" s="1088"/>
      <c r="AA87" s="1088"/>
      <c r="AB87" s="1088"/>
      <c r="AC87" s="1088"/>
      <c r="AD87" s="1088"/>
      <c r="AE87" s="1088"/>
      <c r="AF87" s="1088"/>
      <c r="AO87" s="718" t="s">
        <v>748</v>
      </c>
      <c r="CT87" s="753"/>
      <c r="CU87" s="753"/>
      <c r="CV87" s="753"/>
      <c r="CW87" s="753"/>
      <c r="CX87" s="753"/>
      <c r="CY87" s="753"/>
      <c r="CZ87" s="753"/>
      <c r="DA87" s="753"/>
      <c r="DB87" s="753"/>
      <c r="DC87" s="753"/>
      <c r="DD87" s="753"/>
      <c r="DE87" s="753"/>
      <c r="DF87" s="753"/>
      <c r="DG87" s="753"/>
      <c r="DH87" s="753"/>
      <c r="DI87" s="753"/>
      <c r="DJ87" s="753"/>
      <c r="DK87" s="753"/>
      <c r="DL87" s="753"/>
      <c r="DM87" s="753"/>
      <c r="DN87" s="753"/>
      <c r="DO87" s="753"/>
      <c r="DP87" s="753"/>
      <c r="DQ87" s="753"/>
      <c r="DR87" s="753"/>
      <c r="DS87" s="776"/>
      <c r="DT87" s="758"/>
      <c r="DX87" s="753"/>
      <c r="DY87" s="778"/>
      <c r="DZ87" s="770"/>
      <c r="EC87" s="819"/>
    </row>
    <row r="88" spans="1:133" ht="12.75" customHeight="1">
      <c r="A88" s="38"/>
      <c r="B88" s="744"/>
      <c r="C88" s="745"/>
      <c r="D88" s="738"/>
      <c r="E88" s="747"/>
      <c r="F88" s="746"/>
      <c r="G88" s="746"/>
      <c r="H88" s="746"/>
      <c r="I88" s="38"/>
      <c r="J88" s="1141"/>
      <c r="K88" s="1125"/>
      <c r="L88" s="1141"/>
      <c r="M88" s="1139"/>
      <c r="N88" s="1063"/>
      <c r="O88" s="1063"/>
      <c r="P88" s="1130"/>
      <c r="T88" s="1134"/>
      <c r="U88" s="1110"/>
      <c r="V88" s="1135"/>
      <c r="W88" s="1135"/>
      <c r="X88" s="1135"/>
      <c r="Y88" s="1088"/>
      <c r="Z88" s="1088"/>
      <c r="AA88" s="1088"/>
      <c r="AB88" s="1088"/>
      <c r="AC88" s="1088"/>
      <c r="AD88" s="1088"/>
      <c r="AE88" s="1088"/>
      <c r="AF88" s="1088"/>
      <c r="AO88" s="718" t="s">
        <v>749</v>
      </c>
      <c r="CT88" s="753"/>
      <c r="CU88" s="753"/>
      <c r="CV88" s="753"/>
      <c r="CW88" s="753"/>
      <c r="CX88" s="753"/>
      <c r="CY88" s="753"/>
      <c r="CZ88" s="753"/>
      <c r="DA88" s="753"/>
      <c r="DB88" s="753"/>
      <c r="DC88" s="753"/>
      <c r="DD88" s="753"/>
      <c r="DE88" s="753"/>
      <c r="DF88" s="753"/>
      <c r="DG88" s="753"/>
      <c r="DH88" s="753"/>
      <c r="DI88" s="753"/>
      <c r="DJ88" s="753"/>
      <c r="DK88" s="753"/>
      <c r="DL88" s="753"/>
      <c r="DM88" s="753"/>
      <c r="DN88" s="753"/>
      <c r="DO88" s="753"/>
      <c r="DP88" s="753"/>
      <c r="DQ88" s="753"/>
      <c r="DR88" s="753"/>
      <c r="DS88" s="776"/>
      <c r="DT88" s="758"/>
      <c r="DX88" s="753"/>
      <c r="DY88" s="778"/>
      <c r="DZ88" s="770"/>
      <c r="EC88" s="819"/>
    </row>
    <row r="89" spans="1:133" ht="12.75" customHeight="1">
      <c r="A89" s="38"/>
      <c r="B89" s="749"/>
      <c r="C89" s="745"/>
      <c r="D89" s="741"/>
      <c r="E89" s="747"/>
      <c r="F89" s="750"/>
      <c r="G89" s="746"/>
      <c r="H89" s="741"/>
      <c r="I89" s="38"/>
      <c r="J89" s="1141"/>
      <c r="L89" s="1141"/>
      <c r="M89" s="1139"/>
      <c r="N89" s="1087"/>
      <c r="O89" s="1127"/>
      <c r="P89" s="1130"/>
      <c r="T89" s="1134"/>
      <c r="U89" s="1110"/>
      <c r="V89" s="1135"/>
      <c r="W89" s="1135"/>
      <c r="X89" s="1135"/>
      <c r="Y89" s="1088"/>
      <c r="Z89" s="1088"/>
      <c r="AA89" s="1088"/>
      <c r="AB89" s="1088"/>
      <c r="AC89" s="1088"/>
      <c r="AD89" s="1088"/>
      <c r="AE89" s="1088"/>
      <c r="AF89" s="1088"/>
      <c r="AO89" s="719" t="s">
        <v>750</v>
      </c>
      <c r="CT89" s="753"/>
      <c r="CU89" s="753"/>
      <c r="CV89" s="753"/>
      <c r="CW89" s="753"/>
      <c r="CX89" s="753"/>
      <c r="CY89" s="753"/>
      <c r="CZ89" s="753"/>
      <c r="DA89" s="753"/>
      <c r="DB89" s="753"/>
      <c r="DC89" s="753"/>
      <c r="DD89" s="753"/>
      <c r="DE89" s="753"/>
      <c r="DF89" s="753"/>
      <c r="DG89" s="753"/>
      <c r="DH89" s="753"/>
      <c r="DI89" s="753"/>
      <c r="DJ89" s="753"/>
      <c r="DK89" s="753"/>
      <c r="DL89" s="753"/>
      <c r="DM89" s="753"/>
      <c r="DN89" s="753"/>
      <c r="DO89" s="753"/>
      <c r="DP89" s="753"/>
      <c r="DQ89" s="753"/>
      <c r="DR89" s="753"/>
      <c r="DS89" s="776"/>
      <c r="DT89" s="758"/>
      <c r="DX89" s="753"/>
      <c r="DY89" s="778"/>
      <c r="DZ89" s="753"/>
      <c r="EC89" s="819"/>
    </row>
    <row r="90" spans="1:133" ht="12.75" customHeight="1">
      <c r="A90" s="38"/>
      <c r="B90" s="38"/>
      <c r="C90" s="38"/>
      <c r="D90" s="38"/>
      <c r="E90" s="38"/>
      <c r="F90" s="38"/>
      <c r="G90" s="38"/>
      <c r="H90" s="38"/>
      <c r="I90" s="38"/>
      <c r="J90" s="1141"/>
      <c r="L90" s="1141"/>
      <c r="M90" s="1139"/>
      <c r="N90" s="1087"/>
      <c r="O90" s="1127"/>
      <c r="P90" s="1130"/>
      <c r="T90" s="1110"/>
      <c r="U90" s="1429"/>
      <c r="V90" s="1135"/>
      <c r="W90" s="1135"/>
      <c r="X90" s="1135"/>
      <c r="Y90" s="1088"/>
      <c r="Z90" s="1088"/>
      <c r="AA90" s="1088"/>
      <c r="AB90" s="1088"/>
      <c r="AC90" s="1088"/>
      <c r="AD90" s="1088"/>
      <c r="AE90" s="1088"/>
      <c r="AF90" s="1088"/>
      <c r="AO90" s="719" t="s">
        <v>753</v>
      </c>
      <c r="CT90" s="753"/>
      <c r="CU90" s="753"/>
      <c r="CV90" s="753"/>
      <c r="CW90" s="753"/>
      <c r="CX90" s="753"/>
      <c r="CY90" s="753"/>
      <c r="CZ90" s="753"/>
      <c r="DA90" s="753"/>
      <c r="DB90" s="753"/>
      <c r="DC90" s="753"/>
      <c r="DD90" s="753"/>
      <c r="DE90" s="753"/>
      <c r="DF90" s="753"/>
      <c r="DG90" s="753"/>
      <c r="DH90" s="753"/>
      <c r="DI90" s="753"/>
      <c r="DJ90" s="753"/>
      <c r="DK90" s="753"/>
      <c r="DL90" s="753"/>
      <c r="DM90" s="753"/>
      <c r="DN90" s="753"/>
      <c r="DO90" s="753"/>
      <c r="DP90" s="753"/>
      <c r="DQ90" s="753"/>
      <c r="DR90" s="753"/>
      <c r="DS90" s="776"/>
      <c r="DT90" s="758"/>
      <c r="DX90" s="753"/>
      <c r="DY90" s="778"/>
      <c r="DZ90" s="770"/>
      <c r="EC90" s="819"/>
    </row>
    <row r="91" spans="1:133" ht="12.75" customHeight="1">
      <c r="A91" s="38"/>
      <c r="B91" s="38"/>
      <c r="C91" s="38"/>
      <c r="D91" s="38"/>
      <c r="E91" s="38"/>
      <c r="F91" s="38"/>
      <c r="G91" s="38"/>
      <c r="H91" s="38"/>
      <c r="I91" s="38"/>
      <c r="J91" s="1141"/>
      <c r="L91" s="1141"/>
      <c r="M91" s="1139"/>
      <c r="N91" s="1076"/>
      <c r="O91" s="1127"/>
      <c r="P91" s="1130"/>
      <c r="T91" s="1110"/>
      <c r="U91" s="1426"/>
      <c r="V91" s="1135"/>
      <c r="W91" s="1135"/>
      <c r="X91" s="1135"/>
      <c r="Y91" s="1100"/>
      <c r="Z91" s="1100"/>
      <c r="AA91" s="1100"/>
      <c r="AB91" s="1100"/>
      <c r="AC91" s="1100"/>
      <c r="AD91" s="1088"/>
      <c r="AE91" s="1088"/>
      <c r="AF91" s="1088"/>
      <c r="CT91" s="753"/>
      <c r="CU91" s="753"/>
      <c r="CV91" s="753"/>
      <c r="CW91" s="753"/>
      <c r="CX91" s="753"/>
      <c r="CY91" s="753"/>
      <c r="CZ91" s="753"/>
      <c r="DA91" s="753"/>
      <c r="DB91" s="753"/>
      <c r="DC91" s="753"/>
      <c r="DD91" s="753"/>
      <c r="DE91" s="753"/>
      <c r="DF91" s="753"/>
      <c r="DG91" s="753"/>
      <c r="DH91" s="753"/>
      <c r="DI91" s="753"/>
      <c r="DJ91" s="753"/>
      <c r="DK91" s="753"/>
      <c r="DL91" s="753"/>
      <c r="DM91" s="753"/>
      <c r="DN91" s="753"/>
      <c r="DO91" s="753"/>
      <c r="DP91" s="753"/>
      <c r="DQ91" s="753"/>
      <c r="DR91" s="753"/>
      <c r="DS91" s="776"/>
      <c r="DT91" s="758"/>
      <c r="DX91" s="753"/>
      <c r="DY91" s="778"/>
      <c r="DZ91" s="753"/>
      <c r="EC91" s="819"/>
    </row>
    <row r="92" spans="1:133" ht="12.75" customHeight="1">
      <c r="A92" s="38"/>
      <c r="B92" s="38"/>
      <c r="C92" s="38"/>
      <c r="D92" s="38"/>
      <c r="E92" s="38"/>
      <c r="F92" s="38"/>
      <c r="G92" s="38"/>
      <c r="H92" s="38"/>
      <c r="I92" s="38"/>
      <c r="J92" s="1141"/>
      <c r="L92" s="1141"/>
      <c r="M92" s="1143"/>
      <c r="N92" s="1076"/>
      <c r="O92" s="1127"/>
      <c r="P92" s="1110"/>
      <c r="T92" s="1110"/>
      <c r="U92" s="1429"/>
      <c r="V92" s="1135"/>
      <c r="W92" s="1135"/>
      <c r="X92" s="1135"/>
      <c r="Y92" s="1088"/>
      <c r="Z92" s="1088"/>
      <c r="AA92" s="1088"/>
      <c r="AB92" s="1088"/>
      <c r="AC92" s="1088"/>
      <c r="AD92" s="1088"/>
      <c r="AE92" s="1088"/>
      <c r="AF92" s="1088"/>
      <c r="CT92" s="753"/>
      <c r="CU92" s="753"/>
      <c r="CV92" s="753"/>
      <c r="CW92" s="753"/>
      <c r="CX92" s="753"/>
      <c r="CY92" s="753"/>
      <c r="CZ92" s="753"/>
      <c r="DA92" s="753"/>
      <c r="DB92" s="753"/>
      <c r="DC92" s="753"/>
      <c r="DD92" s="753"/>
      <c r="DE92" s="753"/>
      <c r="DF92" s="753"/>
      <c r="DG92" s="753"/>
      <c r="DH92" s="753"/>
      <c r="DI92" s="753"/>
      <c r="DJ92" s="753"/>
      <c r="DK92" s="753"/>
      <c r="DL92" s="753"/>
      <c r="DM92" s="753"/>
      <c r="DN92" s="753"/>
      <c r="DO92" s="753"/>
      <c r="DP92" s="753"/>
      <c r="DQ92" s="753"/>
      <c r="DR92" s="753"/>
      <c r="DS92" s="776"/>
      <c r="DT92" s="758"/>
      <c r="DX92" s="753"/>
      <c r="DY92" s="778"/>
      <c r="DZ92" s="753"/>
      <c r="EC92" s="819"/>
    </row>
    <row r="93" spans="1:133" ht="12.75" customHeight="1">
      <c r="A93" s="38"/>
      <c r="B93" s="38"/>
      <c r="C93" s="38"/>
      <c r="D93" s="38"/>
      <c r="E93" s="38"/>
      <c r="F93" s="38"/>
      <c r="G93" s="38"/>
      <c r="H93" s="38"/>
      <c r="I93" s="38"/>
      <c r="J93" s="1141"/>
      <c r="L93" s="1141"/>
      <c r="M93" s="1143"/>
      <c r="N93" s="1076"/>
      <c r="O93" s="1127"/>
      <c r="P93" s="1110"/>
      <c r="T93" s="1110"/>
      <c r="U93" s="1426"/>
      <c r="V93" s="1110"/>
      <c r="W93" s="1110"/>
      <c r="X93" s="1110"/>
      <c r="Y93" s="1100"/>
      <c r="Z93" s="1100"/>
      <c r="AA93" s="1100"/>
      <c r="AB93" s="1100"/>
      <c r="AC93" s="1100"/>
      <c r="AD93" s="1088"/>
      <c r="AE93" s="1088"/>
      <c r="AF93" s="1088"/>
      <c r="CT93" s="753"/>
      <c r="CU93" s="753"/>
      <c r="CV93" s="753"/>
      <c r="CW93" s="753"/>
      <c r="CX93" s="753"/>
      <c r="CY93" s="753"/>
      <c r="CZ93" s="753"/>
      <c r="DA93" s="753"/>
      <c r="DB93" s="753"/>
      <c r="DC93" s="753"/>
      <c r="DD93" s="753"/>
      <c r="DE93" s="753"/>
      <c r="DF93" s="753"/>
      <c r="DG93" s="753"/>
      <c r="DH93" s="753"/>
      <c r="DI93" s="753"/>
      <c r="DJ93" s="753"/>
      <c r="DK93" s="753"/>
      <c r="DL93" s="753"/>
      <c r="DM93" s="753"/>
      <c r="DN93" s="753"/>
      <c r="DO93" s="753"/>
      <c r="DP93" s="753"/>
      <c r="DQ93" s="753"/>
      <c r="DR93" s="753"/>
      <c r="DS93" s="776"/>
      <c r="DT93" s="758"/>
      <c r="DX93" s="753"/>
      <c r="DY93" s="778"/>
      <c r="DZ93" s="770"/>
      <c r="EC93" s="819"/>
    </row>
    <row r="94" spans="1:133" ht="12.75" customHeight="1">
      <c r="A94" s="38"/>
      <c r="B94" s="38"/>
      <c r="C94" s="738"/>
      <c r="D94" s="38"/>
      <c r="E94" s="38"/>
      <c r="F94" s="38"/>
      <c r="G94" s="38"/>
      <c r="H94" s="38"/>
      <c r="I94" s="38"/>
      <c r="J94" s="1141"/>
      <c r="L94" s="1141"/>
      <c r="M94" s="1076"/>
      <c r="N94" s="1080"/>
      <c r="O94" s="1063"/>
      <c r="P94" s="1110"/>
      <c r="T94" s="1110"/>
      <c r="U94" s="1426"/>
      <c r="V94" s="1100"/>
      <c r="W94" s="1100"/>
      <c r="X94" s="1100"/>
      <c r="Y94" s="1100"/>
      <c r="Z94" s="1100"/>
      <c r="AA94" s="1100"/>
      <c r="AB94" s="1100"/>
      <c r="AC94" s="1100"/>
      <c r="AD94" s="1088"/>
      <c r="AE94" s="1088"/>
      <c r="AF94" s="1088"/>
      <c r="CT94" s="753"/>
      <c r="CU94" s="753"/>
      <c r="CV94" s="753"/>
      <c r="CW94" s="753"/>
      <c r="CX94" s="753"/>
      <c r="CY94" s="753"/>
      <c r="CZ94" s="753"/>
      <c r="DA94" s="753"/>
      <c r="DB94" s="753"/>
      <c r="DC94" s="753"/>
      <c r="DD94" s="753"/>
      <c r="DE94" s="753"/>
      <c r="DF94" s="753"/>
      <c r="DG94" s="753"/>
      <c r="DH94" s="753"/>
      <c r="DI94" s="753"/>
      <c r="DJ94" s="753"/>
      <c r="DK94" s="753"/>
      <c r="DL94" s="753"/>
      <c r="DM94" s="753"/>
      <c r="DN94" s="753"/>
      <c r="DO94" s="753"/>
      <c r="DP94" s="753"/>
      <c r="DQ94" s="753"/>
      <c r="DR94" s="753"/>
      <c r="DS94" s="776"/>
      <c r="DT94" s="758"/>
      <c r="DX94" s="753"/>
      <c r="DY94" s="778"/>
      <c r="DZ94" s="770"/>
      <c r="EC94" s="819"/>
    </row>
    <row r="95" spans="1:133" ht="12.75" customHeight="1">
      <c r="A95" s="38"/>
      <c r="B95" s="38"/>
      <c r="C95" s="738"/>
      <c r="D95" s="304"/>
      <c r="E95" s="38"/>
      <c r="F95" s="38"/>
      <c r="G95" s="38"/>
      <c r="H95" s="38"/>
      <c r="I95" s="38"/>
      <c r="J95" s="1141"/>
      <c r="L95" s="1141"/>
      <c r="M95" s="1076"/>
      <c r="N95" s="1080"/>
      <c r="O95" s="1063"/>
      <c r="P95" s="1130"/>
      <c r="T95" s="1136"/>
      <c r="U95" s="1110"/>
      <c r="V95" s="1110"/>
      <c r="W95" s="1110"/>
      <c r="X95" s="1110"/>
      <c r="Y95" s="1110"/>
      <c r="Z95" s="1110"/>
      <c r="AA95" s="1110"/>
      <c r="AB95" s="1110"/>
      <c r="AC95" s="1110"/>
      <c r="AD95" s="1088"/>
      <c r="AE95" s="1088"/>
      <c r="AF95" s="1088"/>
      <c r="CT95" s="753"/>
      <c r="CU95" s="753"/>
      <c r="CV95" s="753"/>
      <c r="CW95" s="753"/>
      <c r="CX95" s="753"/>
      <c r="CY95" s="753"/>
      <c r="CZ95" s="753"/>
      <c r="DA95" s="753"/>
      <c r="DB95" s="753"/>
      <c r="DC95" s="753"/>
      <c r="DD95" s="753"/>
      <c r="DE95" s="753"/>
      <c r="DF95" s="753"/>
      <c r="DG95" s="753"/>
      <c r="DH95" s="753"/>
      <c r="DI95" s="753"/>
      <c r="DJ95" s="753"/>
      <c r="DK95" s="753"/>
      <c r="DL95" s="753"/>
      <c r="DM95" s="753"/>
      <c r="DN95" s="753"/>
      <c r="DO95" s="753"/>
      <c r="DP95" s="753"/>
      <c r="DQ95" s="753"/>
      <c r="DR95" s="753"/>
      <c r="DS95" s="776"/>
      <c r="DT95" s="758"/>
      <c r="DX95" s="753"/>
      <c r="DY95" s="778"/>
      <c r="DZ95" s="770"/>
      <c r="EC95" s="819"/>
    </row>
    <row r="96" spans="1:133" ht="12.75" customHeight="1">
      <c r="A96" s="38"/>
      <c r="B96" s="38"/>
      <c r="C96" s="738"/>
      <c r="D96" s="304"/>
      <c r="E96" s="38"/>
      <c r="F96" s="38"/>
      <c r="G96" s="38"/>
      <c r="H96" s="38"/>
      <c r="I96" s="38"/>
      <c r="J96" s="1141"/>
      <c r="L96" s="1141"/>
      <c r="M96" s="1076"/>
      <c r="N96" s="1080"/>
      <c r="O96" s="1127"/>
      <c r="P96" s="1130"/>
      <c r="T96" s="1134"/>
      <c r="U96" s="1110"/>
      <c r="V96" s="1135"/>
      <c r="W96" s="1135"/>
      <c r="X96" s="1135"/>
      <c r="Y96" s="1088"/>
      <c r="Z96" s="1088"/>
      <c r="AA96" s="1088"/>
      <c r="AB96" s="1088"/>
      <c r="AC96" s="1088"/>
      <c r="AD96" s="1088"/>
      <c r="AE96" s="1088"/>
      <c r="AF96" s="1088"/>
      <c r="CT96" s="753"/>
      <c r="CU96" s="753"/>
      <c r="CV96" s="753"/>
      <c r="CW96" s="753"/>
      <c r="CX96" s="753"/>
      <c r="CY96" s="753"/>
      <c r="CZ96" s="753"/>
      <c r="DA96" s="753"/>
      <c r="DB96" s="753"/>
      <c r="DC96" s="753"/>
      <c r="DD96" s="753"/>
      <c r="DE96" s="753"/>
      <c r="DF96" s="753"/>
      <c r="DG96" s="753"/>
      <c r="DH96" s="753"/>
      <c r="DI96" s="753"/>
      <c r="DJ96" s="753"/>
      <c r="DK96" s="753"/>
      <c r="DL96" s="753"/>
      <c r="DM96" s="753"/>
      <c r="DN96" s="753"/>
      <c r="DO96" s="753"/>
      <c r="DP96" s="753"/>
      <c r="DQ96" s="753"/>
      <c r="DR96" s="753"/>
      <c r="DS96" s="776"/>
      <c r="DT96" s="758"/>
    </row>
    <row r="97" spans="1:124" ht="12.75" customHeight="1">
      <c r="A97" s="38"/>
      <c r="B97" s="38"/>
      <c r="C97" s="738"/>
      <c r="D97" s="304"/>
      <c r="E97" s="38"/>
      <c r="F97" s="38"/>
      <c r="G97" s="38"/>
      <c r="H97" s="38"/>
      <c r="I97" s="38"/>
      <c r="J97" s="1141"/>
      <c r="L97" s="1141"/>
      <c r="M97" s="1081"/>
      <c r="N97" s="1076"/>
      <c r="O97" s="1127"/>
      <c r="P97" s="1130"/>
      <c r="T97" s="1134"/>
      <c r="U97" s="1110"/>
      <c r="V97" s="1135"/>
      <c r="W97" s="1135"/>
      <c r="X97" s="1135"/>
      <c r="Y97" s="1088"/>
      <c r="Z97" s="1088"/>
      <c r="AA97" s="1088"/>
      <c r="AB97" s="1088"/>
      <c r="AC97" s="1088"/>
      <c r="AD97" s="1088"/>
      <c r="AE97" s="1088"/>
      <c r="AF97" s="1088"/>
      <c r="CT97" s="753"/>
      <c r="CU97" s="753"/>
      <c r="CV97" s="753"/>
      <c r="CW97" s="753"/>
      <c r="CX97" s="753"/>
      <c r="CY97" s="753"/>
      <c r="CZ97" s="753"/>
      <c r="DA97" s="753"/>
      <c r="DB97" s="753"/>
      <c r="DC97" s="753"/>
      <c r="DD97" s="753"/>
      <c r="DE97" s="753"/>
      <c r="DF97" s="753"/>
      <c r="DG97" s="753"/>
      <c r="DH97" s="753"/>
      <c r="DI97" s="753"/>
      <c r="DJ97" s="753"/>
      <c r="DK97" s="753"/>
      <c r="DL97" s="753"/>
      <c r="DM97" s="753"/>
      <c r="DN97" s="753"/>
      <c r="DO97" s="753"/>
      <c r="DP97" s="753"/>
      <c r="DQ97" s="753"/>
      <c r="DR97" s="753"/>
      <c r="DS97" s="776"/>
      <c r="DT97" s="758"/>
    </row>
    <row r="98" spans="1:124" ht="12.75" customHeight="1">
      <c r="A98" s="38"/>
      <c r="B98" s="38"/>
      <c r="C98" s="738"/>
      <c r="D98" s="304"/>
      <c r="E98" s="38"/>
      <c r="F98" s="38"/>
      <c r="G98" s="38"/>
      <c r="H98" s="38"/>
      <c r="I98" s="38"/>
      <c r="J98" s="1141"/>
      <c r="L98" s="1141"/>
      <c r="M98" s="1063"/>
      <c r="N98" s="1063"/>
      <c r="O98" s="1063"/>
      <c r="P98" s="1130"/>
      <c r="T98" s="1134"/>
      <c r="U98" s="1110"/>
      <c r="V98" s="1135"/>
      <c r="W98" s="1135"/>
      <c r="X98" s="1135"/>
      <c r="Y98" s="1088"/>
      <c r="Z98" s="1088"/>
      <c r="AA98" s="1088"/>
      <c r="AB98" s="1088"/>
      <c r="AC98" s="1088"/>
      <c r="AD98" s="1088"/>
      <c r="AE98" s="1088"/>
      <c r="AF98" s="1088"/>
      <c r="CT98" s="753"/>
      <c r="CU98" s="753"/>
      <c r="CV98" s="753"/>
      <c r="CW98" s="753"/>
      <c r="CX98" s="753"/>
      <c r="CY98" s="753"/>
      <c r="CZ98" s="753"/>
      <c r="DA98" s="753"/>
      <c r="DB98" s="753"/>
      <c r="DC98" s="753"/>
      <c r="DD98" s="753"/>
      <c r="DE98" s="753"/>
      <c r="DF98" s="753"/>
      <c r="DG98" s="753"/>
      <c r="DH98" s="753"/>
      <c r="DI98" s="753"/>
      <c r="DJ98" s="753"/>
      <c r="DK98" s="753"/>
      <c r="DL98" s="753"/>
      <c r="DM98" s="753"/>
      <c r="DN98" s="753"/>
      <c r="DO98" s="753"/>
      <c r="DP98" s="753"/>
      <c r="DQ98" s="753"/>
      <c r="DR98" s="753"/>
      <c r="DS98" s="776"/>
      <c r="DT98" s="758"/>
    </row>
    <row r="99" spans="1:124" ht="12.75" customHeight="1">
      <c r="A99" s="38"/>
      <c r="B99" s="38"/>
      <c r="C99" s="738"/>
      <c r="D99" s="304"/>
      <c r="E99" s="38"/>
      <c r="F99" s="38"/>
      <c r="G99" s="38"/>
      <c r="H99" s="38"/>
      <c r="I99" s="38"/>
      <c r="J99" s="1063"/>
      <c r="L99" s="1055"/>
      <c r="M99" s="1063"/>
      <c r="N99" s="1087"/>
      <c r="O99" s="1127"/>
      <c r="P99" s="1130"/>
      <c r="T99" s="1134"/>
      <c r="U99" s="1110"/>
      <c r="V99" s="1135"/>
      <c r="W99" s="1135"/>
      <c r="X99" s="1135"/>
      <c r="Y99" s="1088"/>
      <c r="Z99" s="1088"/>
      <c r="AA99" s="1088"/>
      <c r="AB99" s="1088"/>
      <c r="AC99" s="1088"/>
      <c r="AD99" s="1061"/>
      <c r="AE99" s="1061"/>
      <c r="AF99" s="1061"/>
      <c r="CT99" s="753"/>
      <c r="CU99" s="753"/>
      <c r="CV99" s="753"/>
      <c r="CW99" s="753"/>
      <c r="CX99" s="753"/>
      <c r="CY99" s="753"/>
      <c r="CZ99" s="753"/>
      <c r="DA99" s="753"/>
      <c r="DB99" s="753"/>
      <c r="DC99" s="753"/>
      <c r="DD99" s="753"/>
      <c r="DE99" s="753"/>
      <c r="DF99" s="753"/>
      <c r="DG99" s="753"/>
      <c r="DH99" s="753"/>
      <c r="DI99" s="753"/>
      <c r="DJ99" s="753"/>
      <c r="DK99" s="753"/>
      <c r="DL99" s="753"/>
      <c r="DM99" s="753"/>
      <c r="DN99" s="753"/>
      <c r="DO99" s="753"/>
      <c r="DP99" s="753"/>
      <c r="DQ99" s="753"/>
      <c r="DR99" s="753"/>
      <c r="DS99" s="776"/>
      <c r="DT99" s="758"/>
    </row>
    <row r="100" spans="1:124" s="758" customFormat="1" ht="12.75" customHeight="1">
      <c r="A100" s="771"/>
      <c r="B100" s="772"/>
      <c r="C100" s="773"/>
      <c r="D100" s="773"/>
      <c r="E100" s="773"/>
      <c r="F100" s="773"/>
      <c r="G100" s="773"/>
      <c r="H100" s="773"/>
      <c r="I100" s="773"/>
      <c r="J100" s="1063"/>
      <c r="K100" s="1039"/>
      <c r="L100" s="1143"/>
      <c r="M100" s="1143"/>
      <c r="N100" s="1076"/>
      <c r="O100" s="1127"/>
      <c r="P100" s="1130"/>
      <c r="Q100" s="1039"/>
      <c r="R100" s="1039"/>
      <c r="S100" s="1039"/>
      <c r="T100" s="1110"/>
      <c r="U100" s="1429"/>
      <c r="V100" s="1135"/>
      <c r="W100" s="1135"/>
      <c r="X100" s="1135"/>
      <c r="Y100" s="1088"/>
      <c r="Z100" s="1088"/>
      <c r="AA100" s="1088"/>
      <c r="AB100" s="1088"/>
      <c r="AC100" s="1088"/>
      <c r="AD100" s="1061"/>
      <c r="AE100" s="1061"/>
      <c r="AF100" s="1061"/>
      <c r="CT100" s="753"/>
      <c r="CU100" s="753"/>
      <c r="CV100" s="753"/>
      <c r="CW100" s="753"/>
      <c r="CX100" s="753"/>
      <c r="CY100" s="753"/>
      <c r="CZ100" s="753"/>
      <c r="DA100" s="753"/>
      <c r="DB100" s="753"/>
      <c r="DC100" s="753"/>
      <c r="DD100" s="753"/>
      <c r="DE100" s="753"/>
      <c r="DF100" s="753"/>
      <c r="DG100" s="753"/>
      <c r="DH100" s="753"/>
      <c r="DI100" s="753"/>
      <c r="DJ100" s="753"/>
      <c r="DK100" s="753"/>
      <c r="DL100" s="753"/>
      <c r="DM100" s="753"/>
      <c r="DN100" s="753"/>
      <c r="DO100" s="753"/>
      <c r="DP100" s="753"/>
      <c r="DQ100" s="753"/>
      <c r="DR100" s="753"/>
      <c r="DS100" s="776"/>
    </row>
    <row r="101" spans="1:124" s="758" customFormat="1" ht="12.75" customHeight="1">
      <c r="A101" s="773"/>
      <c r="B101" s="772"/>
      <c r="C101" s="773"/>
      <c r="D101" s="773"/>
      <c r="E101" s="773"/>
      <c r="F101" s="773"/>
      <c r="G101" s="773"/>
      <c r="H101" s="773"/>
      <c r="I101" s="777"/>
      <c r="J101" s="1063"/>
      <c r="K101" s="1039"/>
      <c r="L101" s="1143"/>
      <c r="M101" s="1143"/>
      <c r="N101" s="1076"/>
      <c r="O101" s="1127"/>
      <c r="P101" s="1130"/>
      <c r="Q101" s="1039"/>
      <c r="R101" s="1039"/>
      <c r="S101" s="1039"/>
      <c r="T101" s="1110"/>
      <c r="U101" s="1426"/>
      <c r="V101" s="1100"/>
      <c r="W101" s="1100"/>
      <c r="X101" s="1100"/>
      <c r="Y101" s="1100"/>
      <c r="Z101" s="1100"/>
      <c r="AA101" s="1100"/>
      <c r="AB101" s="1100"/>
      <c r="AC101" s="1100"/>
      <c r="AD101" s="1061"/>
      <c r="AE101" s="1061"/>
      <c r="AF101" s="1061"/>
      <c r="CT101" s="753"/>
      <c r="CU101" s="753"/>
      <c r="CV101" s="753"/>
      <c r="CW101" s="753"/>
      <c r="CX101" s="753"/>
      <c r="CY101" s="753"/>
      <c r="CZ101" s="753"/>
      <c r="DA101" s="753"/>
      <c r="DB101" s="753"/>
      <c r="DC101" s="753"/>
      <c r="DD101" s="753"/>
      <c r="DE101" s="753"/>
      <c r="DF101" s="753"/>
      <c r="DG101" s="753"/>
      <c r="DH101" s="753"/>
      <c r="DI101" s="753"/>
      <c r="DJ101" s="753"/>
      <c r="DK101" s="753"/>
      <c r="DL101" s="753"/>
      <c r="DM101" s="753"/>
      <c r="DN101" s="753"/>
      <c r="DO101" s="753"/>
      <c r="DP101" s="753"/>
      <c r="DQ101" s="753"/>
      <c r="DR101" s="753"/>
      <c r="DS101" s="776"/>
    </row>
    <row r="102" spans="1:124" s="758" customFormat="1" ht="12.75" customHeight="1">
      <c r="A102" s="773"/>
      <c r="B102" s="772"/>
      <c r="C102" s="773"/>
      <c r="D102" s="773"/>
      <c r="E102" s="773"/>
      <c r="F102" s="773"/>
      <c r="G102" s="773"/>
      <c r="H102" s="773"/>
      <c r="I102" s="773"/>
      <c r="J102" s="1063"/>
      <c r="K102" s="1039"/>
      <c r="L102" s="1143"/>
      <c r="M102" s="1143"/>
      <c r="N102" s="1076"/>
      <c r="O102" s="1127"/>
      <c r="P102" s="1130"/>
      <c r="Q102" s="1039"/>
      <c r="R102" s="1039"/>
      <c r="S102" s="1039"/>
      <c r="T102" s="1110"/>
      <c r="U102" s="1110"/>
      <c r="V102" s="1110"/>
      <c r="W102" s="1110"/>
      <c r="X102" s="1110"/>
      <c r="Y102" s="1110"/>
      <c r="Z102" s="1110"/>
      <c r="AA102" s="1110"/>
      <c r="AB102" s="1110"/>
      <c r="AC102" s="1110"/>
      <c r="AD102" s="1110"/>
      <c r="AE102" s="1110"/>
      <c r="AF102" s="1110"/>
      <c r="CT102" s="753"/>
      <c r="CU102" s="753"/>
      <c r="CV102" s="753"/>
      <c r="CW102" s="753"/>
      <c r="CX102" s="753"/>
      <c r="CY102" s="753"/>
      <c r="CZ102" s="753"/>
      <c r="DA102" s="753"/>
      <c r="DB102" s="753"/>
      <c r="DC102" s="753"/>
      <c r="DD102" s="753"/>
      <c r="DE102" s="753"/>
      <c r="DF102" s="753"/>
      <c r="DG102" s="753"/>
      <c r="DH102" s="753"/>
      <c r="DI102" s="753"/>
      <c r="DJ102" s="753"/>
      <c r="DK102" s="753"/>
      <c r="DL102" s="753"/>
      <c r="DM102" s="753"/>
      <c r="DN102" s="753"/>
      <c r="DO102" s="753"/>
      <c r="DP102" s="753"/>
      <c r="DQ102" s="753"/>
      <c r="DR102" s="753"/>
      <c r="DS102" s="776"/>
    </row>
    <row r="103" spans="1:124" s="758" customFormat="1" ht="12.75" customHeight="1">
      <c r="A103" s="773"/>
      <c r="B103" s="773"/>
      <c r="C103" s="773"/>
      <c r="D103" s="773"/>
      <c r="E103" s="773"/>
      <c r="F103" s="773"/>
      <c r="G103" s="773"/>
      <c r="H103" s="773"/>
      <c r="I103" s="773"/>
      <c r="J103" s="1063"/>
      <c r="K103" s="1090"/>
      <c r="L103" s="1039"/>
      <c r="M103" s="1104"/>
      <c r="N103" s="1083"/>
      <c r="O103" s="1130"/>
      <c r="P103" s="1130"/>
      <c r="Q103" s="1039"/>
      <c r="R103" s="1039"/>
      <c r="S103" s="1039"/>
      <c r="T103" s="1039"/>
      <c r="U103" s="1039"/>
      <c r="V103" s="1039"/>
      <c r="W103" s="1039"/>
      <c r="X103" s="1039"/>
      <c r="Y103" s="1039"/>
      <c r="Z103" s="1039"/>
      <c r="AA103" s="1039"/>
      <c r="AB103" s="1039"/>
      <c r="AC103" s="1039"/>
      <c r="AD103" s="1039"/>
      <c r="AE103" s="1039"/>
      <c r="AF103" s="1039"/>
      <c r="CT103" s="753"/>
      <c r="CU103" s="753"/>
      <c r="CV103" s="753"/>
      <c r="CW103" s="753"/>
      <c r="CX103" s="753"/>
      <c r="CY103" s="753"/>
      <c r="CZ103" s="753"/>
      <c r="DA103" s="753"/>
      <c r="DB103" s="753"/>
      <c r="DC103" s="753"/>
      <c r="DD103" s="753"/>
      <c r="DE103" s="753"/>
      <c r="DF103" s="753"/>
      <c r="DG103" s="753"/>
      <c r="DH103" s="753"/>
      <c r="DI103" s="753"/>
      <c r="DJ103" s="753"/>
      <c r="DK103" s="753"/>
      <c r="DL103" s="753"/>
      <c r="DM103" s="753"/>
      <c r="DN103" s="753"/>
      <c r="DO103" s="753"/>
      <c r="DP103" s="753"/>
      <c r="DQ103" s="753"/>
      <c r="DR103" s="753"/>
      <c r="DS103" s="776"/>
    </row>
    <row r="104" spans="1:124" s="758" customFormat="1" ht="12.75" customHeight="1">
      <c r="A104" s="773"/>
      <c r="B104" s="773"/>
      <c r="C104" s="773"/>
      <c r="D104" s="773"/>
      <c r="E104" s="773"/>
      <c r="F104" s="773"/>
      <c r="G104" s="773"/>
      <c r="H104" s="773"/>
      <c r="I104" s="773"/>
      <c r="J104" s="1063"/>
      <c r="K104" s="1061"/>
      <c r="L104" s="1063"/>
      <c r="M104" s="1081"/>
      <c r="N104" s="1083"/>
      <c r="O104" s="1130"/>
      <c r="P104" s="1130"/>
      <c r="Q104" s="1039"/>
      <c r="R104" s="1039"/>
      <c r="S104" s="1039"/>
      <c r="T104" s="1039"/>
      <c r="U104" s="1039"/>
      <c r="V104" s="1039"/>
      <c r="W104" s="1039"/>
      <c r="X104" s="1039"/>
      <c r="Y104" s="1039"/>
      <c r="Z104" s="1039"/>
      <c r="AA104" s="1039"/>
      <c r="AB104" s="1039"/>
      <c r="AC104" s="1039"/>
      <c r="AD104" s="1039"/>
      <c r="AE104" s="1039"/>
      <c r="AF104" s="1039"/>
      <c r="CT104" s="753"/>
      <c r="CU104" s="753"/>
      <c r="CV104" s="753"/>
      <c r="CW104" s="753"/>
      <c r="CX104" s="753"/>
      <c r="CY104" s="753"/>
      <c r="CZ104" s="753"/>
      <c r="DA104" s="753"/>
      <c r="DB104" s="753"/>
      <c r="DC104" s="753"/>
      <c r="DD104" s="753"/>
      <c r="DE104" s="753"/>
      <c r="DF104" s="753"/>
      <c r="DG104" s="753"/>
      <c r="DH104" s="753"/>
      <c r="DI104" s="753"/>
      <c r="DJ104" s="753"/>
      <c r="DK104" s="753"/>
      <c r="DL104" s="753"/>
      <c r="DM104" s="753"/>
      <c r="DN104" s="753"/>
      <c r="DO104" s="753"/>
      <c r="DP104" s="753"/>
      <c r="DQ104" s="753"/>
      <c r="DR104" s="753"/>
      <c r="DS104" s="776"/>
    </row>
    <row r="105" spans="1:124" s="758" customFormat="1" ht="12.75" customHeight="1">
      <c r="A105" s="773"/>
      <c r="B105" s="773"/>
      <c r="C105" s="773"/>
      <c r="D105" s="773"/>
      <c r="E105" s="773"/>
      <c r="F105" s="773"/>
      <c r="G105" s="773"/>
      <c r="H105" s="773"/>
      <c r="I105" s="773"/>
      <c r="J105" s="1063"/>
      <c r="K105" s="1061"/>
      <c r="L105" s="1063"/>
      <c r="M105" s="1063"/>
      <c r="N105" s="1039"/>
      <c r="O105" s="1039"/>
      <c r="P105" s="1130"/>
      <c r="Q105" s="1039"/>
      <c r="R105" s="1039"/>
      <c r="S105" s="1039"/>
      <c r="T105" s="1039"/>
      <c r="U105" s="1039"/>
      <c r="V105" s="1039"/>
      <c r="W105" s="1039"/>
      <c r="X105" s="1039"/>
      <c r="Y105" s="1039"/>
      <c r="Z105" s="1039"/>
      <c r="AA105" s="1039"/>
      <c r="AB105" s="1039"/>
      <c r="AC105" s="1039"/>
      <c r="AD105" s="1039"/>
      <c r="AE105" s="1039"/>
      <c r="AF105" s="1039"/>
      <c r="CT105" s="753"/>
      <c r="CU105" s="753"/>
      <c r="CV105" s="753"/>
      <c r="CW105" s="753"/>
      <c r="CX105" s="753"/>
      <c r="CY105" s="753"/>
      <c r="CZ105" s="753"/>
      <c r="DA105" s="753"/>
      <c r="DB105" s="753"/>
      <c r="DC105" s="753"/>
      <c r="DD105" s="753"/>
      <c r="DE105" s="753"/>
      <c r="DF105" s="753"/>
      <c r="DG105" s="753"/>
      <c r="DH105" s="753"/>
      <c r="DI105" s="753"/>
      <c r="DJ105" s="753"/>
      <c r="DK105" s="753"/>
      <c r="DL105" s="753"/>
      <c r="DM105" s="753"/>
      <c r="DN105" s="753"/>
      <c r="DO105" s="753"/>
      <c r="DP105" s="753"/>
      <c r="DQ105" s="753"/>
      <c r="DR105" s="753"/>
      <c r="DS105" s="776"/>
    </row>
    <row r="106" spans="1:124" s="758" customFormat="1" ht="12.75" customHeight="1">
      <c r="A106" s="773"/>
      <c r="B106" s="773"/>
      <c r="C106" s="773"/>
      <c r="D106" s="773"/>
      <c r="E106" s="773"/>
      <c r="F106" s="773"/>
      <c r="G106" s="773"/>
      <c r="H106" s="773"/>
      <c r="I106" s="773"/>
      <c r="J106" s="1063"/>
      <c r="K106" s="1061"/>
      <c r="L106" s="1063"/>
      <c r="M106" s="1081"/>
      <c r="N106" s="1076"/>
      <c r="O106" s="1130"/>
      <c r="P106" s="1130"/>
      <c r="Q106" s="1039"/>
      <c r="R106" s="1039"/>
      <c r="S106" s="1039"/>
      <c r="T106" s="1039"/>
      <c r="U106" s="1039"/>
      <c r="V106" s="1039"/>
      <c r="W106" s="1039"/>
      <c r="X106" s="1039"/>
      <c r="Y106" s="1039"/>
      <c r="Z106" s="1039"/>
      <c r="AA106" s="1039"/>
      <c r="AB106" s="1039"/>
      <c r="AC106" s="1039"/>
      <c r="AD106" s="1039"/>
      <c r="AE106" s="1039"/>
      <c r="AF106" s="1039"/>
      <c r="CT106" s="753"/>
      <c r="CU106" s="753"/>
      <c r="CV106" s="753"/>
      <c r="CW106" s="753"/>
      <c r="CX106" s="753"/>
      <c r="CY106" s="753"/>
      <c r="CZ106" s="753"/>
      <c r="DA106" s="753"/>
      <c r="DB106" s="753"/>
      <c r="DC106" s="753"/>
      <c r="DD106" s="753"/>
      <c r="DE106" s="753"/>
      <c r="DF106" s="753"/>
      <c r="DG106" s="753"/>
      <c r="DH106" s="753"/>
      <c r="DI106" s="753"/>
      <c r="DJ106" s="753"/>
      <c r="DK106" s="753"/>
      <c r="DL106" s="753"/>
      <c r="DM106" s="753"/>
      <c r="DN106" s="753"/>
      <c r="DO106" s="753"/>
      <c r="DP106" s="753"/>
      <c r="DQ106" s="753"/>
      <c r="DR106" s="753"/>
      <c r="DS106" s="776"/>
    </row>
    <row r="107" spans="1:124" s="758" customFormat="1" ht="12.75" customHeight="1">
      <c r="A107" s="780"/>
      <c r="B107" s="780"/>
      <c r="C107" s="780"/>
      <c r="D107" s="780"/>
      <c r="E107" s="780"/>
      <c r="F107" s="780"/>
      <c r="G107" s="780"/>
      <c r="H107" s="780"/>
      <c r="I107" s="780"/>
      <c r="J107" s="1063"/>
      <c r="K107" s="1061"/>
      <c r="L107" s="1063"/>
      <c r="M107" s="1081"/>
      <c r="N107" s="1137"/>
      <c r="O107" s="1130"/>
      <c r="P107" s="1130"/>
      <c r="Q107" s="1039"/>
      <c r="R107" s="1039"/>
      <c r="S107" s="1039"/>
      <c r="T107" s="1039"/>
      <c r="U107" s="1039"/>
      <c r="V107" s="1039"/>
      <c r="W107" s="1039"/>
      <c r="X107" s="1039"/>
      <c r="Y107" s="1039"/>
      <c r="Z107" s="1039"/>
      <c r="AA107" s="1039"/>
      <c r="AB107" s="1039"/>
      <c r="AC107" s="1039"/>
      <c r="AD107" s="1039"/>
      <c r="AE107" s="1039"/>
      <c r="AF107" s="1039"/>
      <c r="CT107" s="753"/>
      <c r="CU107" s="753"/>
      <c r="CV107" s="753"/>
      <c r="CW107" s="753"/>
      <c r="CX107" s="753"/>
      <c r="CY107" s="753"/>
      <c r="CZ107" s="753"/>
      <c r="DA107" s="753"/>
      <c r="DB107" s="753"/>
      <c r="DC107" s="753"/>
      <c r="DD107" s="753"/>
      <c r="DE107" s="753"/>
      <c r="DF107" s="753"/>
      <c r="DG107" s="753"/>
      <c r="DH107" s="753"/>
      <c r="DI107" s="753"/>
      <c r="DJ107" s="753"/>
      <c r="DK107" s="753"/>
      <c r="DL107" s="753"/>
      <c r="DM107" s="753"/>
      <c r="DN107" s="753"/>
      <c r="DO107" s="753"/>
      <c r="DP107" s="753"/>
      <c r="DQ107" s="753"/>
      <c r="DR107" s="753"/>
      <c r="DS107" s="776"/>
    </row>
    <row r="108" spans="1:124" s="758" customFormat="1" ht="12.75" customHeight="1">
      <c r="A108" s="780"/>
      <c r="B108" s="780"/>
      <c r="C108" s="780"/>
      <c r="D108" s="780"/>
      <c r="E108" s="780"/>
      <c r="F108" s="780"/>
      <c r="G108" s="780"/>
      <c r="H108" s="780"/>
      <c r="I108" s="780"/>
      <c r="J108" s="1063"/>
      <c r="K108" s="1061"/>
      <c r="L108" s="1063"/>
      <c r="M108" s="782"/>
      <c r="N108" s="1137"/>
      <c r="O108" s="1130"/>
      <c r="P108" s="783"/>
      <c r="Q108" s="1039"/>
      <c r="R108" s="1039"/>
      <c r="S108" s="1039"/>
      <c r="T108" s="1039"/>
      <c r="U108" s="1039"/>
      <c r="V108" s="1039"/>
      <c r="W108" s="1039"/>
      <c r="X108" s="1039"/>
      <c r="Y108" s="1039"/>
      <c r="Z108" s="1039"/>
      <c r="AA108" s="1039"/>
      <c r="AB108" s="1039"/>
      <c r="AC108" s="1039"/>
      <c r="AD108" s="1039"/>
      <c r="AE108" s="1039"/>
      <c r="AF108" s="1039"/>
      <c r="CT108" s="753"/>
      <c r="CU108" s="753"/>
      <c r="CV108" s="753"/>
      <c r="CW108" s="753"/>
      <c r="CX108" s="753"/>
      <c r="CY108" s="753"/>
      <c r="CZ108" s="753"/>
      <c r="DA108" s="753"/>
      <c r="DB108" s="753"/>
      <c r="DC108" s="753"/>
      <c r="DD108" s="753"/>
      <c r="DE108" s="753"/>
      <c r="DF108" s="753"/>
      <c r="DG108" s="753"/>
      <c r="DH108" s="753"/>
      <c r="DI108" s="753"/>
      <c r="DJ108" s="753"/>
      <c r="DK108" s="753"/>
      <c r="DL108" s="753"/>
      <c r="DM108" s="753"/>
      <c r="DN108" s="753"/>
      <c r="DO108" s="753"/>
      <c r="DP108" s="753"/>
      <c r="DQ108" s="753"/>
      <c r="DR108" s="753"/>
      <c r="DS108" s="776"/>
    </row>
    <row r="109" spans="1:124" s="758" customFormat="1" ht="12.75" customHeight="1">
      <c r="A109" s="780"/>
      <c r="B109" s="780"/>
      <c r="C109" s="780"/>
      <c r="D109" s="780"/>
      <c r="E109" s="780"/>
      <c r="F109" s="780"/>
      <c r="G109" s="780"/>
      <c r="H109" s="780"/>
      <c r="I109" s="780"/>
      <c r="J109" s="1063"/>
      <c r="K109" s="1061"/>
      <c r="L109" s="1063"/>
      <c r="M109" s="782"/>
      <c r="N109" s="1137"/>
      <c r="O109" s="1130"/>
      <c r="P109" s="783"/>
      <c r="Q109" s="1039"/>
      <c r="R109" s="1039"/>
      <c r="S109" s="1039"/>
      <c r="T109" s="1039"/>
      <c r="U109" s="1039"/>
      <c r="V109" s="1039"/>
      <c r="W109" s="1039"/>
      <c r="X109" s="1039"/>
      <c r="Y109" s="1039"/>
      <c r="Z109" s="1039"/>
      <c r="AA109" s="1039"/>
      <c r="AB109" s="1039"/>
      <c r="AC109" s="1039"/>
      <c r="AD109" s="1039"/>
      <c r="AE109" s="1039"/>
      <c r="AF109" s="1039"/>
      <c r="CT109" s="753"/>
      <c r="CU109" s="753"/>
      <c r="CV109" s="753"/>
      <c r="CW109" s="753"/>
      <c r="CX109" s="753"/>
      <c r="CY109" s="753"/>
      <c r="CZ109" s="753"/>
      <c r="DA109" s="753"/>
      <c r="DB109" s="753"/>
      <c r="DC109" s="753"/>
      <c r="DD109" s="753"/>
      <c r="DE109" s="753"/>
      <c r="DF109" s="753"/>
      <c r="DG109" s="753"/>
      <c r="DH109" s="753"/>
      <c r="DI109" s="753"/>
      <c r="DJ109" s="753"/>
      <c r="DK109" s="753"/>
      <c r="DL109" s="753"/>
      <c r="DM109" s="753"/>
      <c r="DN109" s="753"/>
      <c r="DO109" s="753"/>
      <c r="DP109" s="753"/>
      <c r="DQ109" s="753"/>
      <c r="DR109" s="753"/>
      <c r="DS109" s="776"/>
    </row>
    <row r="110" spans="1:124" s="758" customFormat="1" ht="12.75" customHeight="1">
      <c r="A110" s="780"/>
      <c r="B110" s="780"/>
      <c r="C110" s="780"/>
      <c r="D110" s="780"/>
      <c r="E110" s="780"/>
      <c r="F110" s="780"/>
      <c r="G110" s="780"/>
      <c r="H110" s="784"/>
      <c r="I110" s="785"/>
      <c r="J110" s="1063"/>
      <c r="K110" s="1061"/>
      <c r="L110" s="1063"/>
      <c r="M110" s="1144"/>
      <c r="N110" s="1090"/>
      <c r="O110" s="1130"/>
      <c r="P110" s="1130"/>
      <c r="Q110" s="1039"/>
      <c r="R110" s="1039"/>
      <c r="S110" s="1039"/>
      <c r="T110" s="1039"/>
      <c r="U110" s="1039"/>
      <c r="V110" s="1039"/>
      <c r="W110" s="1039"/>
      <c r="X110" s="1039"/>
      <c r="Y110" s="1039"/>
      <c r="Z110" s="1039"/>
      <c r="AA110" s="1039"/>
      <c r="AB110" s="1039"/>
      <c r="AC110" s="1039"/>
      <c r="AD110" s="1039"/>
      <c r="AE110" s="1039"/>
      <c r="AF110" s="1039"/>
      <c r="CT110" s="753"/>
      <c r="CU110" s="753"/>
      <c r="CV110" s="753"/>
      <c r="CW110" s="753"/>
      <c r="CX110" s="753"/>
      <c r="CY110" s="753"/>
      <c r="CZ110" s="753"/>
      <c r="DA110" s="753"/>
      <c r="DB110" s="753"/>
      <c r="DC110" s="753"/>
      <c r="DD110" s="753"/>
      <c r="DE110" s="753"/>
      <c r="DF110" s="753"/>
      <c r="DG110" s="753"/>
      <c r="DH110" s="753"/>
      <c r="DI110" s="753"/>
      <c r="DJ110" s="753"/>
      <c r="DK110" s="753"/>
      <c r="DL110" s="753"/>
      <c r="DM110" s="753"/>
      <c r="DN110" s="753"/>
      <c r="DO110" s="753"/>
      <c r="DP110" s="753"/>
      <c r="DQ110" s="753"/>
      <c r="DR110" s="753"/>
      <c r="DS110" s="776"/>
    </row>
    <row r="111" spans="1:124" s="758" customFormat="1" ht="12.75" customHeight="1">
      <c r="A111" s="780"/>
      <c r="B111" s="780"/>
      <c r="C111" s="780"/>
      <c r="D111" s="780"/>
      <c r="E111" s="780"/>
      <c r="F111" s="780"/>
      <c r="G111" s="780"/>
      <c r="H111" s="786"/>
      <c r="I111" s="787"/>
      <c r="J111" s="1063"/>
      <c r="K111" s="1061"/>
      <c r="L111" s="1063"/>
      <c r="M111" s="1063"/>
      <c r="N111" s="1039"/>
      <c r="O111" s="1039"/>
      <c r="P111" s="1130"/>
      <c r="Q111" s="1039"/>
      <c r="R111" s="1039"/>
      <c r="S111" s="1039"/>
      <c r="T111" s="1039"/>
      <c r="U111" s="1039"/>
      <c r="V111" s="1039"/>
      <c r="W111" s="1039"/>
      <c r="X111" s="1039"/>
      <c r="Y111" s="1039"/>
      <c r="Z111" s="1039"/>
      <c r="AA111" s="1039"/>
      <c r="AB111" s="1039"/>
      <c r="AC111" s="1039"/>
      <c r="AD111" s="1039"/>
      <c r="AE111" s="1039"/>
      <c r="AF111" s="1039"/>
      <c r="CT111" s="753"/>
      <c r="CU111" s="753"/>
      <c r="CV111" s="753"/>
      <c r="CW111" s="753"/>
      <c r="CX111" s="753"/>
      <c r="CY111" s="753"/>
      <c r="CZ111" s="753"/>
      <c r="DA111" s="753"/>
      <c r="DB111" s="753"/>
      <c r="DC111" s="753"/>
      <c r="DD111" s="753"/>
      <c r="DE111" s="753"/>
      <c r="DF111" s="753"/>
      <c r="DG111" s="753"/>
      <c r="DH111" s="753"/>
      <c r="DI111" s="753"/>
      <c r="DJ111" s="753"/>
      <c r="DK111" s="753"/>
      <c r="DL111" s="753"/>
      <c r="DM111" s="753"/>
      <c r="DN111" s="753"/>
      <c r="DO111" s="753"/>
      <c r="DP111" s="753"/>
      <c r="DQ111" s="753"/>
      <c r="DR111" s="753"/>
      <c r="DS111" s="776"/>
    </row>
    <row r="112" spans="1:124" s="758" customFormat="1" ht="12.75" customHeight="1">
      <c r="A112" s="780"/>
      <c r="B112" s="780"/>
      <c r="C112" s="780"/>
      <c r="D112" s="780"/>
      <c r="E112" s="780"/>
      <c r="F112" s="780"/>
      <c r="G112" s="780"/>
      <c r="H112" s="780"/>
      <c r="I112" s="788"/>
      <c r="J112" s="1063"/>
      <c r="K112" s="1061"/>
      <c r="L112" s="1063"/>
      <c r="M112" s="1143"/>
      <c r="N112" s="1145"/>
      <c r="O112" s="1130"/>
      <c r="P112" s="1130"/>
      <c r="Q112" s="1039"/>
      <c r="R112" s="1039"/>
      <c r="S112" s="1039"/>
      <c r="T112" s="1039"/>
      <c r="U112" s="1039"/>
      <c r="V112" s="1039"/>
      <c r="W112" s="1039"/>
      <c r="X112" s="1039"/>
      <c r="Y112" s="1039"/>
      <c r="Z112" s="1039"/>
      <c r="AA112" s="1039"/>
      <c r="AB112" s="1039"/>
      <c r="AC112" s="1039"/>
      <c r="AD112" s="1039"/>
      <c r="AE112" s="1039"/>
      <c r="AF112" s="1039"/>
      <c r="CT112" s="753"/>
      <c r="CU112" s="753"/>
      <c r="CV112" s="753"/>
      <c r="CW112" s="753"/>
      <c r="CX112" s="753"/>
      <c r="CY112" s="753"/>
      <c r="CZ112" s="753"/>
      <c r="DA112" s="753"/>
      <c r="DB112" s="753"/>
      <c r="DC112" s="753"/>
      <c r="DD112" s="753"/>
      <c r="DE112" s="753"/>
      <c r="DF112" s="753"/>
      <c r="DG112" s="753"/>
      <c r="DH112" s="753"/>
      <c r="DI112" s="753"/>
      <c r="DJ112" s="753"/>
      <c r="DK112" s="753"/>
      <c r="DL112" s="753"/>
      <c r="DM112" s="753"/>
      <c r="DN112" s="753"/>
      <c r="DO112" s="753"/>
      <c r="DP112" s="753"/>
      <c r="DQ112" s="753"/>
      <c r="DR112" s="753"/>
      <c r="DS112" s="776"/>
    </row>
    <row r="113" spans="1:124" s="758" customFormat="1" ht="12.75" customHeight="1">
      <c r="A113" s="780"/>
      <c r="B113" s="780"/>
      <c r="C113" s="780"/>
      <c r="D113" s="780"/>
      <c r="E113" s="780"/>
      <c r="F113" s="780"/>
      <c r="G113" s="780"/>
      <c r="H113" s="788"/>
      <c r="I113" s="789"/>
      <c r="J113" s="1063"/>
      <c r="K113" s="1061"/>
      <c r="L113" s="1063"/>
      <c r="M113" s="1143"/>
      <c r="N113" s="1083"/>
      <c r="O113" s="1130"/>
      <c r="P113" s="1130"/>
      <c r="Q113" s="1039"/>
      <c r="R113" s="1039"/>
      <c r="S113" s="1039"/>
      <c r="T113" s="1039"/>
      <c r="U113" s="1039"/>
      <c r="V113" s="1039"/>
      <c r="W113" s="1039"/>
      <c r="X113" s="1039"/>
      <c r="Y113" s="1039"/>
      <c r="Z113" s="1039"/>
      <c r="AA113" s="1039"/>
      <c r="AB113" s="1039"/>
      <c r="AC113" s="1039"/>
      <c r="AD113" s="1039"/>
      <c r="AE113" s="1039"/>
      <c r="AF113" s="1039"/>
      <c r="CT113" s="753"/>
      <c r="CU113" s="753"/>
      <c r="CV113" s="753"/>
      <c r="CW113" s="753"/>
      <c r="CX113" s="753"/>
      <c r="CY113" s="753"/>
      <c r="CZ113" s="753"/>
      <c r="DA113" s="753"/>
      <c r="DB113" s="753"/>
      <c r="DC113" s="753"/>
      <c r="DD113" s="753"/>
      <c r="DE113" s="753"/>
      <c r="DF113" s="753"/>
      <c r="DG113" s="753"/>
      <c r="DH113" s="753"/>
      <c r="DI113" s="753"/>
      <c r="DJ113" s="753"/>
      <c r="DK113" s="753"/>
      <c r="DL113" s="753"/>
      <c r="DM113" s="753"/>
      <c r="DN113" s="753"/>
      <c r="DO113" s="753"/>
      <c r="DP113" s="753"/>
      <c r="DQ113" s="753"/>
      <c r="DR113" s="753"/>
      <c r="DS113" s="776"/>
    </row>
    <row r="114" spans="1:124" s="758" customFormat="1">
      <c r="A114" s="780"/>
      <c r="B114" s="780"/>
      <c r="C114" s="780"/>
      <c r="D114" s="780"/>
      <c r="E114" s="780"/>
      <c r="F114" s="780"/>
      <c r="G114" s="780"/>
      <c r="H114" s="788"/>
      <c r="I114" s="790"/>
      <c r="J114" s="1063"/>
      <c r="K114" s="1061"/>
      <c r="L114" s="1063"/>
      <c r="M114" s="1146"/>
      <c r="N114" s="1083"/>
      <c r="O114" s="1147"/>
      <c r="P114" s="1127"/>
      <c r="Q114" s="1039"/>
      <c r="R114" s="1039"/>
      <c r="S114" s="1039"/>
      <c r="T114" s="1039"/>
      <c r="U114" s="1039"/>
      <c r="V114" s="1039"/>
      <c r="W114" s="1039"/>
      <c r="X114" s="1039"/>
      <c r="Y114" s="1039"/>
      <c r="Z114" s="1039"/>
      <c r="AA114" s="1039"/>
      <c r="AB114" s="1039"/>
      <c r="AC114" s="1039"/>
      <c r="AD114" s="1039"/>
      <c r="AE114" s="1039"/>
      <c r="AF114" s="1039"/>
      <c r="CT114" s="753"/>
      <c r="CU114" s="753"/>
      <c r="CV114" s="753"/>
      <c r="CW114" s="753"/>
      <c r="CX114" s="753"/>
      <c r="CY114" s="753"/>
      <c r="CZ114" s="753"/>
      <c r="DA114" s="753"/>
      <c r="DB114" s="753"/>
      <c r="DC114" s="753"/>
      <c r="DD114" s="753"/>
      <c r="DE114" s="753"/>
      <c r="DF114" s="753"/>
      <c r="DG114" s="753"/>
      <c r="DH114" s="753"/>
      <c r="DI114" s="753"/>
      <c r="DJ114" s="753"/>
      <c r="DK114" s="753"/>
      <c r="DL114" s="753"/>
      <c r="DM114" s="753"/>
      <c r="DN114" s="753"/>
      <c r="DO114" s="753"/>
      <c r="DP114" s="753"/>
      <c r="DQ114" s="753"/>
      <c r="DR114" s="753"/>
      <c r="DS114" s="776"/>
    </row>
    <row r="115" spans="1:124" s="758" customFormat="1">
      <c r="A115" s="780"/>
      <c r="B115" s="780"/>
      <c r="C115" s="780"/>
      <c r="D115" s="780"/>
      <c r="E115" s="780"/>
      <c r="F115" s="780"/>
      <c r="G115" s="780"/>
      <c r="H115" s="788"/>
      <c r="I115" s="769"/>
      <c r="J115" s="1063"/>
      <c r="K115" s="1061"/>
      <c r="L115" s="1063"/>
      <c r="M115" s="1063"/>
      <c r="N115" s="1104"/>
      <c r="O115" s="1130"/>
      <c r="P115" s="1130"/>
      <c r="Q115" s="1039"/>
      <c r="R115" s="1039"/>
      <c r="S115" s="1039"/>
      <c r="T115" s="1039"/>
      <c r="U115" s="1039"/>
      <c r="V115" s="1039"/>
      <c r="W115" s="1039"/>
      <c r="X115" s="1039"/>
      <c r="Y115" s="1039"/>
      <c r="Z115" s="1039"/>
      <c r="AA115" s="1039"/>
      <c r="AB115" s="1039"/>
      <c r="AC115" s="1039"/>
      <c r="AD115" s="1039"/>
      <c r="AE115" s="1039"/>
      <c r="AF115" s="1039"/>
      <c r="CT115" s="753"/>
      <c r="CU115" s="753"/>
      <c r="CV115" s="753"/>
      <c r="CW115" s="753"/>
      <c r="CX115" s="753"/>
      <c r="CY115" s="753"/>
      <c r="CZ115" s="753"/>
      <c r="DA115" s="753"/>
      <c r="DB115" s="753"/>
      <c r="DC115" s="753"/>
      <c r="DD115" s="753"/>
      <c r="DE115" s="753"/>
      <c r="DF115" s="753"/>
      <c r="DG115" s="753"/>
      <c r="DH115" s="753"/>
      <c r="DI115" s="753"/>
      <c r="DJ115" s="753"/>
      <c r="DK115" s="753"/>
      <c r="DL115" s="753"/>
      <c r="DM115" s="753"/>
      <c r="DN115" s="753"/>
      <c r="DO115" s="753"/>
      <c r="DP115" s="753"/>
      <c r="DQ115" s="753"/>
      <c r="DR115" s="753"/>
      <c r="DS115" s="776"/>
    </row>
    <row r="116" spans="1:124" s="758" customFormat="1">
      <c r="A116" s="780"/>
      <c r="B116" s="780"/>
      <c r="C116" s="780"/>
      <c r="D116" s="780"/>
      <c r="E116" s="780"/>
      <c r="F116" s="780"/>
      <c r="G116" s="780"/>
      <c r="H116" s="788"/>
      <c r="I116" s="791"/>
      <c r="J116" s="1063"/>
      <c r="K116" s="1061"/>
      <c r="L116" s="1063"/>
      <c r="M116" s="1081"/>
      <c r="N116" s="1083"/>
      <c r="O116" s="1130"/>
      <c r="P116" s="1130"/>
      <c r="Q116" s="1039"/>
      <c r="R116" s="1039"/>
      <c r="S116" s="1039"/>
      <c r="T116" s="1039"/>
      <c r="U116" s="1039"/>
      <c r="V116" s="1039"/>
      <c r="W116" s="1039"/>
      <c r="X116" s="1039"/>
      <c r="Y116" s="1039"/>
      <c r="Z116" s="1039"/>
      <c r="AA116" s="1039"/>
      <c r="AB116" s="1039"/>
      <c r="AC116" s="1039"/>
      <c r="AD116" s="1039"/>
      <c r="AE116" s="1039"/>
      <c r="AF116" s="1039"/>
      <c r="CT116" s="753"/>
      <c r="CU116" s="753"/>
      <c r="CV116" s="753"/>
      <c r="CW116" s="753"/>
      <c r="CX116" s="753"/>
      <c r="CY116" s="753"/>
      <c r="CZ116" s="753"/>
      <c r="DA116" s="753"/>
      <c r="DB116" s="753"/>
      <c r="DC116" s="753"/>
      <c r="DD116" s="753"/>
      <c r="DE116" s="753"/>
      <c r="DF116" s="753"/>
      <c r="DG116" s="753"/>
      <c r="DH116" s="753"/>
      <c r="DI116" s="753"/>
      <c r="DJ116" s="753"/>
      <c r="DK116" s="753"/>
      <c r="DL116" s="753"/>
      <c r="DM116" s="753"/>
      <c r="DN116" s="753"/>
      <c r="DO116" s="753"/>
      <c r="DP116" s="753"/>
      <c r="DQ116" s="753"/>
      <c r="DR116" s="753"/>
      <c r="DS116" s="776"/>
      <c r="DT116" s="779"/>
    </row>
    <row r="117" spans="1:124" s="758" customFormat="1">
      <c r="A117" s="792"/>
      <c r="B117" s="780"/>
      <c r="C117" s="780"/>
      <c r="D117" s="780"/>
      <c r="E117" s="780"/>
      <c r="F117" s="780"/>
      <c r="G117" s="780"/>
      <c r="H117" s="780"/>
      <c r="I117" s="780"/>
      <c r="J117" s="1063"/>
      <c r="K117" s="1061"/>
      <c r="L117" s="1063"/>
      <c r="M117" s="1148"/>
      <c r="N117" s="1083"/>
      <c r="O117" s="1130"/>
      <c r="P117" s="1130"/>
      <c r="Q117" s="1039"/>
      <c r="R117" s="1039"/>
      <c r="S117" s="1039"/>
      <c r="T117" s="1039"/>
      <c r="U117" s="1039"/>
      <c r="V117" s="1039"/>
      <c r="W117" s="1039"/>
      <c r="X117" s="1039"/>
      <c r="Y117" s="1039"/>
      <c r="Z117" s="1039"/>
      <c r="AA117" s="1039"/>
      <c r="AB117" s="1039"/>
      <c r="AC117" s="1039"/>
      <c r="AD117" s="1039"/>
      <c r="AE117" s="1039"/>
      <c r="AF117" s="1039"/>
      <c r="CT117" s="753"/>
      <c r="CU117" s="753"/>
      <c r="CV117" s="753"/>
      <c r="CW117" s="753"/>
      <c r="CX117" s="753"/>
      <c r="CY117" s="753"/>
      <c r="CZ117" s="753"/>
      <c r="DA117" s="753"/>
      <c r="DB117" s="753"/>
      <c r="DC117" s="753"/>
      <c r="DD117" s="753"/>
      <c r="DE117" s="753"/>
      <c r="DF117" s="753"/>
      <c r="DG117" s="753"/>
      <c r="DH117" s="753"/>
      <c r="DI117" s="753"/>
      <c r="DJ117" s="753"/>
      <c r="DK117" s="753"/>
      <c r="DL117" s="753"/>
      <c r="DM117" s="753"/>
      <c r="DN117" s="753"/>
      <c r="DO117" s="753"/>
      <c r="DP117" s="753"/>
      <c r="DQ117" s="753"/>
      <c r="DR117" s="753"/>
      <c r="DS117" s="776"/>
    </row>
    <row r="118" spans="1:124" s="758" customFormat="1" ht="15.75">
      <c r="A118" s="794"/>
      <c r="B118" s="780"/>
      <c r="C118" s="780"/>
      <c r="D118" s="780"/>
      <c r="E118" s="780"/>
      <c r="F118" s="780"/>
      <c r="G118" s="780"/>
      <c r="H118" s="780"/>
      <c r="I118" s="780"/>
      <c r="J118" s="1063"/>
      <c r="K118" s="1061"/>
      <c r="L118" s="1063"/>
      <c r="M118" s="1148"/>
      <c r="N118" s="1083"/>
      <c r="O118" s="1130"/>
      <c r="P118" s="1130"/>
      <c r="Q118" s="1039"/>
      <c r="R118" s="1039"/>
      <c r="S118" s="1039"/>
      <c r="T118" s="1039"/>
      <c r="U118" s="1039"/>
      <c r="V118" s="1039"/>
      <c r="W118" s="1039"/>
      <c r="X118" s="1039"/>
      <c r="Y118" s="1039"/>
      <c r="Z118" s="1039"/>
      <c r="AA118" s="1039"/>
      <c r="AB118" s="1039"/>
      <c r="AC118" s="1039"/>
      <c r="AD118" s="1039"/>
      <c r="AE118" s="1039"/>
      <c r="AF118" s="1039"/>
      <c r="CT118" s="753"/>
      <c r="CU118" s="753"/>
      <c r="CV118" s="753"/>
      <c r="CW118" s="753"/>
      <c r="CX118" s="753"/>
      <c r="CY118" s="753"/>
      <c r="CZ118" s="753"/>
      <c r="DA118" s="753"/>
      <c r="DB118" s="753"/>
      <c r="DC118" s="753"/>
      <c r="DD118" s="753"/>
      <c r="DE118" s="753"/>
      <c r="DF118" s="753"/>
      <c r="DG118" s="753"/>
      <c r="DH118" s="753"/>
      <c r="DI118" s="753"/>
      <c r="DJ118" s="753"/>
      <c r="DK118" s="753"/>
      <c r="DL118" s="753"/>
      <c r="DM118" s="753"/>
      <c r="DN118" s="753"/>
      <c r="DO118" s="753"/>
      <c r="DP118" s="753"/>
      <c r="DQ118" s="753"/>
      <c r="DR118" s="753"/>
      <c r="DS118" s="776"/>
    </row>
    <row r="119" spans="1:124" s="758" customFormat="1" ht="15.75">
      <c r="A119" s="794"/>
      <c r="B119" s="780"/>
      <c r="C119" s="780"/>
      <c r="D119" s="780"/>
      <c r="E119" s="780"/>
      <c r="F119" s="780"/>
      <c r="G119" s="780"/>
      <c r="H119" s="780"/>
      <c r="I119" s="780"/>
      <c r="J119" s="1063"/>
      <c r="K119" s="1061"/>
      <c r="L119" s="1063"/>
      <c r="M119" s="1081"/>
      <c r="N119" s="1083"/>
      <c r="O119" s="1130"/>
      <c r="P119" s="1130"/>
      <c r="Q119" s="1039"/>
      <c r="R119" s="1039"/>
      <c r="S119" s="1039"/>
      <c r="T119" s="1039"/>
      <c r="U119" s="1039"/>
      <c r="V119" s="1039"/>
      <c r="W119" s="1039"/>
      <c r="X119" s="1039"/>
      <c r="Y119" s="1039"/>
      <c r="Z119" s="1039"/>
      <c r="AA119" s="1039"/>
      <c r="AB119" s="1039"/>
      <c r="AC119" s="1039"/>
      <c r="AD119" s="1039"/>
      <c r="AE119" s="1039"/>
      <c r="AF119" s="1039"/>
      <c r="CT119" s="753"/>
      <c r="CU119" s="753"/>
      <c r="CV119" s="753"/>
      <c r="CW119" s="753"/>
      <c r="CX119" s="753"/>
      <c r="CY119" s="753"/>
      <c r="CZ119" s="753"/>
      <c r="DA119" s="753"/>
      <c r="DB119" s="753"/>
      <c r="DC119" s="753"/>
      <c r="DD119" s="753"/>
      <c r="DE119" s="753"/>
      <c r="DF119" s="753"/>
      <c r="DG119" s="753"/>
      <c r="DH119" s="753"/>
      <c r="DI119" s="753"/>
      <c r="DJ119" s="753"/>
      <c r="DK119" s="753"/>
      <c r="DL119" s="753"/>
      <c r="DM119" s="753"/>
      <c r="DN119" s="753"/>
      <c r="DO119" s="753"/>
      <c r="DP119" s="753"/>
      <c r="DQ119" s="753"/>
      <c r="DR119" s="753"/>
      <c r="DS119" s="776"/>
    </row>
    <row r="120" spans="1:124" s="758" customFormat="1" ht="16.5">
      <c r="A120" s="780"/>
      <c r="B120" s="780"/>
      <c r="C120" s="780"/>
      <c r="D120" s="780"/>
      <c r="E120" s="780"/>
      <c r="F120" s="780"/>
      <c r="G120" s="780"/>
      <c r="H120" s="795"/>
      <c r="I120" s="788"/>
      <c r="J120" s="1063"/>
      <c r="K120" s="1061"/>
      <c r="L120" s="1063"/>
      <c r="M120" s="1081"/>
      <c r="N120" s="1083"/>
      <c r="O120" s="1130"/>
      <c r="P120" s="1130"/>
      <c r="Q120" s="1039"/>
      <c r="R120" s="1039"/>
      <c r="S120" s="1039"/>
      <c r="T120" s="1039"/>
      <c r="U120" s="1039"/>
      <c r="V120" s="1039"/>
      <c r="W120" s="1039"/>
      <c r="X120" s="1039"/>
      <c r="Y120" s="1039"/>
      <c r="Z120" s="1039"/>
      <c r="AA120" s="1039"/>
      <c r="AB120" s="1039"/>
      <c r="AC120" s="1039"/>
      <c r="AD120" s="1039"/>
      <c r="AE120" s="1039"/>
      <c r="AF120" s="1039"/>
      <c r="CT120" s="753"/>
      <c r="CU120" s="753"/>
      <c r="CV120" s="753"/>
      <c r="CW120" s="753"/>
      <c r="CX120" s="753"/>
      <c r="CY120" s="753"/>
      <c r="CZ120" s="753"/>
      <c r="DA120" s="753"/>
      <c r="DB120" s="753"/>
      <c r="DC120" s="753"/>
      <c r="DD120" s="753"/>
      <c r="DE120" s="753"/>
      <c r="DF120" s="753"/>
      <c r="DG120" s="753"/>
      <c r="DH120" s="753"/>
      <c r="DI120" s="753"/>
      <c r="DJ120" s="753"/>
      <c r="DK120" s="753"/>
      <c r="DL120" s="753"/>
      <c r="DM120" s="753"/>
      <c r="DN120" s="753"/>
      <c r="DO120" s="753"/>
      <c r="DP120" s="753"/>
      <c r="DQ120" s="753"/>
      <c r="DR120" s="753"/>
      <c r="DS120" s="776"/>
    </row>
    <row r="121" spans="1:124" s="758" customFormat="1">
      <c r="A121" s="796"/>
      <c r="B121" s="780"/>
      <c r="C121" s="780"/>
      <c r="D121" s="780"/>
      <c r="E121" s="780"/>
      <c r="F121" s="780"/>
      <c r="G121" s="780"/>
      <c r="H121" s="797"/>
      <c r="I121" s="787"/>
      <c r="J121" s="1063"/>
      <c r="K121" s="1061"/>
      <c r="L121" s="1063"/>
      <c r="M121" s="1081"/>
      <c r="N121" s="1083"/>
      <c r="O121" s="1130"/>
      <c r="P121" s="1063"/>
      <c r="Q121" s="1039"/>
      <c r="R121" s="1039"/>
      <c r="S121" s="1039"/>
      <c r="T121" s="1039"/>
      <c r="U121" s="1039"/>
      <c r="V121" s="1039"/>
      <c r="W121" s="1039"/>
      <c r="X121" s="1039"/>
      <c r="Y121" s="1039"/>
      <c r="Z121" s="1039"/>
      <c r="AA121" s="1039"/>
      <c r="AB121" s="1039"/>
      <c r="AC121" s="1039"/>
      <c r="AD121" s="1039"/>
      <c r="AE121" s="1039"/>
      <c r="AF121" s="1039"/>
      <c r="CT121" s="753"/>
      <c r="CU121" s="753"/>
      <c r="CV121" s="753"/>
      <c r="CW121" s="753"/>
      <c r="CX121" s="753"/>
      <c r="CY121" s="753"/>
      <c r="CZ121" s="753"/>
      <c r="DA121" s="753"/>
      <c r="DB121" s="753"/>
      <c r="DC121" s="753"/>
      <c r="DD121" s="753"/>
      <c r="DE121" s="753"/>
      <c r="DF121" s="753"/>
      <c r="DG121" s="753"/>
      <c r="DH121" s="753"/>
      <c r="DI121" s="753"/>
      <c r="DJ121" s="753"/>
      <c r="DK121" s="753"/>
      <c r="DL121" s="753"/>
      <c r="DM121" s="753"/>
      <c r="DN121" s="753"/>
      <c r="DO121" s="753"/>
      <c r="DP121" s="753"/>
      <c r="DQ121" s="753"/>
      <c r="DR121" s="753"/>
      <c r="DS121" s="776"/>
    </row>
    <row r="122" spans="1:124" s="758" customFormat="1">
      <c r="A122" s="798"/>
      <c r="B122" s="799"/>
      <c r="C122" s="780"/>
      <c r="D122" s="780"/>
      <c r="E122" s="780"/>
      <c r="F122" s="780"/>
      <c r="G122" s="780"/>
      <c r="H122" s="797"/>
      <c r="I122" s="787"/>
      <c r="J122" s="1063"/>
      <c r="K122" s="1061"/>
      <c r="L122" s="1063"/>
      <c r="M122" s="1081"/>
      <c r="N122" s="1083"/>
      <c r="O122" s="1130"/>
      <c r="P122" s="1130"/>
      <c r="Q122" s="1039"/>
      <c r="R122" s="1039"/>
      <c r="S122" s="1039"/>
      <c r="T122" s="1039"/>
      <c r="U122" s="1039"/>
      <c r="V122" s="1039"/>
      <c r="W122" s="1039"/>
      <c r="X122" s="1039"/>
      <c r="Y122" s="1039"/>
      <c r="Z122" s="1039"/>
      <c r="AA122" s="1039"/>
      <c r="AB122" s="1039"/>
      <c r="AC122" s="1039"/>
      <c r="AD122" s="1039"/>
      <c r="AE122" s="1039"/>
      <c r="AF122" s="1039"/>
      <c r="CT122" s="753"/>
      <c r="CU122" s="753"/>
      <c r="CV122" s="753"/>
      <c r="CW122" s="753"/>
      <c r="CX122" s="753"/>
      <c r="CY122" s="753"/>
      <c r="CZ122" s="753"/>
      <c r="DA122" s="753"/>
      <c r="DB122" s="753"/>
      <c r="DC122" s="753"/>
      <c r="DD122" s="753"/>
      <c r="DE122" s="753"/>
      <c r="DF122" s="753"/>
      <c r="DG122" s="753"/>
      <c r="DH122" s="753"/>
      <c r="DI122" s="753"/>
      <c r="DJ122" s="753"/>
      <c r="DK122" s="753"/>
      <c r="DL122" s="753"/>
      <c r="DM122" s="753"/>
      <c r="DN122" s="753"/>
      <c r="DO122" s="753"/>
      <c r="DP122" s="753"/>
      <c r="DQ122" s="753"/>
      <c r="DR122" s="753"/>
      <c r="DS122" s="776"/>
    </row>
    <row r="123" spans="1:124" s="758" customFormat="1" ht="16.5">
      <c r="A123" s="794"/>
      <c r="B123" s="799"/>
      <c r="C123" s="795"/>
      <c r="D123" s="780"/>
      <c r="E123" s="780"/>
      <c r="F123" s="780"/>
      <c r="G123" s="780"/>
      <c r="H123" s="780"/>
      <c r="I123" s="764"/>
      <c r="J123" s="1063"/>
      <c r="K123" s="1061"/>
      <c r="L123" s="1063"/>
      <c r="M123" s="1127"/>
      <c r="N123" s="1039"/>
      <c r="O123" s="1039"/>
      <c r="P123" s="1130"/>
      <c r="Q123" s="1039"/>
      <c r="R123" s="1039"/>
      <c r="S123" s="1039"/>
      <c r="T123" s="1039"/>
      <c r="U123" s="1039"/>
      <c r="V123" s="1039"/>
      <c r="W123" s="1039"/>
      <c r="X123" s="1039"/>
      <c r="Y123" s="1039"/>
      <c r="Z123" s="1039"/>
      <c r="AA123" s="1039"/>
      <c r="AB123" s="1039"/>
      <c r="AC123" s="1039"/>
      <c r="AD123" s="1039"/>
      <c r="AE123" s="1039"/>
      <c r="AF123" s="1039"/>
      <c r="CT123" s="753"/>
      <c r="CU123" s="753"/>
      <c r="CV123" s="753"/>
      <c r="CW123" s="753"/>
      <c r="CX123" s="753"/>
      <c r="CY123" s="753"/>
      <c r="CZ123" s="753"/>
      <c r="DA123" s="753"/>
      <c r="DB123" s="753"/>
      <c r="DC123" s="753"/>
      <c r="DD123" s="753"/>
      <c r="DE123" s="753"/>
      <c r="DF123" s="753"/>
      <c r="DG123" s="753"/>
      <c r="DH123" s="753"/>
      <c r="DI123" s="753"/>
      <c r="DJ123" s="753"/>
      <c r="DK123" s="753"/>
      <c r="DL123" s="753"/>
      <c r="DM123" s="753"/>
      <c r="DN123" s="753"/>
      <c r="DO123" s="753"/>
      <c r="DP123" s="753"/>
      <c r="DQ123" s="753"/>
      <c r="DR123" s="753"/>
      <c r="DS123" s="776"/>
    </row>
    <row r="124" spans="1:124" s="758" customFormat="1">
      <c r="A124" s="798"/>
      <c r="B124" s="799"/>
      <c r="C124" s="780"/>
      <c r="D124" s="780"/>
      <c r="E124" s="780"/>
      <c r="F124" s="780"/>
      <c r="G124" s="780"/>
      <c r="H124" s="773"/>
      <c r="I124" s="764"/>
      <c r="J124" s="1063"/>
      <c r="K124" s="1061"/>
      <c r="L124" s="1063"/>
      <c r="M124" s="1081"/>
      <c r="N124" s="1076"/>
      <c r="O124" s="1130"/>
      <c r="P124" s="1130"/>
      <c r="Q124" s="1039"/>
      <c r="R124" s="1039"/>
      <c r="S124" s="1039"/>
      <c r="T124" s="1039"/>
      <c r="U124" s="1039"/>
      <c r="V124" s="1039"/>
      <c r="W124" s="1039"/>
      <c r="X124" s="1039"/>
      <c r="Y124" s="1039"/>
      <c r="Z124" s="1039"/>
      <c r="AA124" s="1039"/>
      <c r="AB124" s="1039"/>
      <c r="AC124" s="1039"/>
      <c r="AD124" s="1039"/>
      <c r="AE124" s="1039"/>
      <c r="AF124" s="1039"/>
      <c r="CT124" s="753"/>
      <c r="CU124" s="753"/>
      <c r="CV124" s="753"/>
      <c r="CW124" s="753"/>
      <c r="CX124" s="753"/>
      <c r="CY124" s="753"/>
      <c r="CZ124" s="753"/>
      <c r="DA124" s="753"/>
      <c r="DB124" s="753"/>
      <c r="DC124" s="753"/>
      <c r="DD124" s="753"/>
      <c r="DE124" s="753"/>
      <c r="DF124" s="753"/>
      <c r="DG124" s="753"/>
      <c r="DH124" s="753"/>
      <c r="DI124" s="753"/>
      <c r="DJ124" s="753"/>
      <c r="DK124" s="753"/>
      <c r="DL124" s="753"/>
      <c r="DM124" s="753"/>
      <c r="DN124" s="753"/>
      <c r="DO124" s="753"/>
      <c r="DP124" s="753"/>
      <c r="DQ124" s="753"/>
      <c r="DR124" s="753"/>
      <c r="DS124" s="776"/>
    </row>
    <row r="125" spans="1:124" s="758" customFormat="1">
      <c r="A125" s="798"/>
      <c r="B125" s="799"/>
      <c r="C125" s="780"/>
      <c r="D125" s="780"/>
      <c r="E125" s="780"/>
      <c r="F125" s="780"/>
      <c r="G125" s="780"/>
      <c r="H125" s="773"/>
      <c r="I125" s="764"/>
      <c r="J125" s="1063"/>
      <c r="K125" s="1061"/>
      <c r="L125" s="1063"/>
      <c r="M125" s="1081"/>
      <c r="N125" s="1083"/>
      <c r="O125" s="1130"/>
      <c r="P125" s="1130"/>
      <c r="Q125" s="1039"/>
      <c r="R125" s="1039"/>
      <c r="S125" s="1039"/>
      <c r="T125" s="1039"/>
      <c r="U125" s="1039"/>
      <c r="V125" s="1039"/>
      <c r="W125" s="1039"/>
      <c r="X125" s="1039"/>
      <c r="Y125" s="1039"/>
      <c r="Z125" s="1039"/>
      <c r="AA125" s="1039"/>
      <c r="AB125" s="1039"/>
      <c r="AC125" s="1039"/>
      <c r="AD125" s="1039"/>
      <c r="AE125" s="1039"/>
      <c r="AF125" s="1039"/>
      <c r="CT125" s="753"/>
      <c r="CU125" s="753"/>
      <c r="CV125" s="753"/>
      <c r="CW125" s="753"/>
      <c r="CX125" s="753"/>
      <c r="CY125" s="753"/>
      <c r="CZ125" s="753"/>
      <c r="DA125" s="753"/>
      <c r="DB125" s="753"/>
      <c r="DC125" s="753"/>
      <c r="DD125" s="753"/>
      <c r="DE125" s="753"/>
      <c r="DF125" s="753"/>
      <c r="DG125" s="753"/>
      <c r="DH125" s="753"/>
      <c r="DI125" s="753"/>
      <c r="DJ125" s="753"/>
      <c r="DK125" s="753"/>
      <c r="DL125" s="753"/>
      <c r="DM125" s="753"/>
      <c r="DN125" s="753"/>
      <c r="DO125" s="753"/>
      <c r="DP125" s="753"/>
      <c r="DQ125" s="753"/>
      <c r="DR125" s="753"/>
      <c r="DS125" s="776"/>
    </row>
    <row r="126" spans="1:124" s="758" customFormat="1" ht="15.75">
      <c r="A126" s="794"/>
      <c r="B126" s="800"/>
      <c r="C126" s="780"/>
      <c r="D126" s="780"/>
      <c r="E126" s="780"/>
      <c r="F126" s="780"/>
      <c r="G126" s="780"/>
      <c r="H126" s="773"/>
      <c r="I126" s="764"/>
      <c r="J126" s="1063"/>
      <c r="K126" s="1063"/>
      <c r="L126" s="1063"/>
      <c r="M126" s="782"/>
      <c r="N126" s="1137"/>
      <c r="O126" s="1130"/>
      <c r="P126" s="783"/>
      <c r="Q126" s="1039"/>
      <c r="R126" s="1039"/>
      <c r="S126" s="1039"/>
      <c r="T126" s="1039"/>
      <c r="U126" s="1039"/>
      <c r="V126" s="1039"/>
      <c r="W126" s="1039"/>
      <c r="X126" s="1039"/>
      <c r="Y126" s="1039"/>
      <c r="Z126" s="1039"/>
      <c r="AA126" s="1039"/>
      <c r="AB126" s="1039"/>
      <c r="AC126" s="1039"/>
      <c r="AD126" s="1039"/>
      <c r="AE126" s="1039"/>
      <c r="AF126" s="1039"/>
      <c r="CT126" s="753"/>
      <c r="CU126" s="753"/>
      <c r="CV126" s="753"/>
      <c r="CW126" s="753"/>
      <c r="CX126" s="753"/>
      <c r="CY126" s="753"/>
      <c r="CZ126" s="753"/>
      <c r="DA126" s="753"/>
      <c r="DB126" s="753"/>
      <c r="DC126" s="753"/>
      <c r="DD126" s="753"/>
      <c r="DE126" s="753"/>
      <c r="DF126" s="753"/>
      <c r="DG126" s="753"/>
      <c r="DH126" s="753"/>
      <c r="DI126" s="753"/>
      <c r="DJ126" s="753"/>
      <c r="DK126" s="753"/>
      <c r="DL126" s="753"/>
      <c r="DM126" s="753"/>
      <c r="DN126" s="753"/>
      <c r="DO126" s="753"/>
      <c r="DP126" s="753"/>
      <c r="DQ126" s="753"/>
      <c r="DR126" s="753"/>
      <c r="DS126" s="776"/>
    </row>
    <row r="127" spans="1:124" s="758" customFormat="1" ht="15.75">
      <c r="A127" s="794"/>
      <c r="B127" s="800"/>
      <c r="C127" s="780"/>
      <c r="D127" s="780"/>
      <c r="E127" s="780"/>
      <c r="F127" s="780"/>
      <c r="G127" s="780"/>
      <c r="H127" s="773"/>
      <c r="I127" s="764"/>
      <c r="J127" s="1063"/>
      <c r="K127" s="1063"/>
      <c r="L127" s="1063"/>
      <c r="M127" s="782"/>
      <c r="N127" s="1137"/>
      <c r="O127" s="1130"/>
      <c r="P127" s="783"/>
      <c r="Q127" s="1039"/>
      <c r="R127" s="1039"/>
      <c r="S127" s="1039"/>
      <c r="T127" s="1039"/>
      <c r="U127" s="1039"/>
      <c r="V127" s="1039"/>
      <c r="W127" s="1039"/>
      <c r="X127" s="1039"/>
      <c r="Y127" s="1039"/>
      <c r="Z127" s="1039"/>
      <c r="AA127" s="1039"/>
      <c r="AB127" s="1039"/>
      <c r="AC127" s="1039"/>
      <c r="AD127" s="1039"/>
      <c r="AE127" s="1039"/>
      <c r="AF127" s="1039"/>
      <c r="CT127" s="753"/>
      <c r="CU127" s="753"/>
      <c r="CV127" s="753"/>
      <c r="CW127" s="753"/>
      <c r="CX127" s="753"/>
      <c r="CY127" s="753"/>
      <c r="CZ127" s="753"/>
      <c r="DA127" s="753"/>
      <c r="DB127" s="753"/>
      <c r="DC127" s="753"/>
      <c r="DD127" s="753"/>
      <c r="DE127" s="753"/>
      <c r="DF127" s="753"/>
      <c r="DG127" s="753"/>
      <c r="DH127" s="753"/>
      <c r="DI127" s="753"/>
      <c r="DJ127" s="753"/>
      <c r="DK127" s="753"/>
      <c r="DL127" s="753"/>
      <c r="DM127" s="753"/>
      <c r="DN127" s="753"/>
      <c r="DO127" s="753"/>
      <c r="DP127" s="753"/>
      <c r="DQ127" s="753"/>
      <c r="DR127" s="753"/>
      <c r="DS127" s="776"/>
    </row>
    <row r="128" spans="1:124" s="758" customFormat="1">
      <c r="A128" s="780"/>
      <c r="B128" s="780"/>
      <c r="C128" s="780"/>
      <c r="D128" s="780"/>
      <c r="E128" s="780"/>
      <c r="F128" s="780"/>
      <c r="G128" s="780"/>
      <c r="H128" s="780"/>
      <c r="I128" s="788"/>
      <c r="J128" s="1063"/>
      <c r="K128" s="1063"/>
      <c r="L128" s="1063"/>
      <c r="M128" s="1127"/>
      <c r="N128" s="1039"/>
      <c r="O128" s="1039"/>
      <c r="P128" s="1130"/>
      <c r="Q128" s="1039"/>
      <c r="R128" s="1039"/>
      <c r="S128" s="1039"/>
      <c r="T128" s="1039"/>
      <c r="U128" s="1039"/>
      <c r="V128" s="1039"/>
      <c r="W128" s="1039"/>
      <c r="X128" s="1039"/>
      <c r="Y128" s="1039"/>
      <c r="Z128" s="1039"/>
      <c r="AA128" s="1039"/>
      <c r="AB128" s="1039"/>
      <c r="AC128" s="1039"/>
      <c r="AD128" s="1039"/>
      <c r="AE128" s="1039"/>
      <c r="AF128" s="1039"/>
      <c r="CT128" s="753"/>
      <c r="CU128" s="753"/>
      <c r="CV128" s="753"/>
      <c r="CW128" s="753"/>
      <c r="CX128" s="753"/>
      <c r="CY128" s="753"/>
      <c r="CZ128" s="753"/>
      <c r="DA128" s="753"/>
      <c r="DB128" s="753"/>
      <c r="DC128" s="753"/>
      <c r="DD128" s="753"/>
      <c r="DE128" s="753"/>
      <c r="DF128" s="753"/>
      <c r="DG128" s="753"/>
      <c r="DH128" s="753"/>
      <c r="DI128" s="753"/>
      <c r="DJ128" s="753"/>
      <c r="DK128" s="753"/>
      <c r="DL128" s="753"/>
      <c r="DM128" s="753"/>
      <c r="DN128" s="753"/>
      <c r="DO128" s="753"/>
      <c r="DP128" s="753"/>
      <c r="DQ128" s="753"/>
      <c r="DR128" s="753"/>
      <c r="DS128" s="776"/>
    </row>
    <row r="129" spans="1:124" s="758" customFormat="1">
      <c r="A129" s="780"/>
      <c r="B129" s="780"/>
      <c r="C129" s="780"/>
      <c r="D129" s="780"/>
      <c r="E129" s="780"/>
      <c r="F129" s="780"/>
      <c r="G129" s="780"/>
      <c r="H129" s="797"/>
      <c r="I129" s="787"/>
      <c r="J129" s="1063"/>
      <c r="K129" s="1063"/>
      <c r="L129" s="1063"/>
      <c r="M129" s="1081"/>
      <c r="N129" s="1083"/>
      <c r="O129" s="1130"/>
      <c r="P129" s="1130"/>
      <c r="Q129" s="1039"/>
      <c r="R129" s="1039"/>
      <c r="S129" s="1039"/>
      <c r="T129" s="1039"/>
      <c r="U129" s="1039"/>
      <c r="V129" s="1039"/>
      <c r="W129" s="1039"/>
      <c r="X129" s="1039"/>
      <c r="Y129" s="1039"/>
      <c r="Z129" s="1039"/>
      <c r="AA129" s="1039"/>
      <c r="AB129" s="1039"/>
      <c r="AC129" s="1039"/>
      <c r="AD129" s="1039"/>
      <c r="AE129" s="1039"/>
      <c r="AF129" s="1039"/>
      <c r="CT129" s="753"/>
      <c r="CU129" s="753"/>
      <c r="CV129" s="753"/>
      <c r="CW129" s="753"/>
      <c r="CX129" s="753"/>
      <c r="CY129" s="753"/>
      <c r="CZ129" s="753"/>
      <c r="DA129" s="753"/>
      <c r="DB129" s="753"/>
      <c r="DC129" s="753"/>
      <c r="DD129" s="753"/>
      <c r="DE129" s="753"/>
      <c r="DF129" s="753"/>
      <c r="DG129" s="753"/>
      <c r="DH129" s="753"/>
      <c r="DI129" s="753"/>
      <c r="DJ129" s="753"/>
      <c r="DK129" s="753"/>
      <c r="DL129" s="753"/>
      <c r="DM129" s="753"/>
      <c r="DN129" s="753"/>
      <c r="DO129" s="753"/>
      <c r="DP129" s="753"/>
      <c r="DQ129" s="753"/>
      <c r="DR129" s="753"/>
      <c r="DS129" s="776"/>
    </row>
    <row r="130" spans="1:124" s="758" customFormat="1">
      <c r="A130" s="796"/>
      <c r="B130" s="780"/>
      <c r="C130" s="780"/>
      <c r="D130" s="780"/>
      <c r="E130" s="780"/>
      <c r="F130" s="780"/>
      <c r="G130" s="780"/>
      <c r="H130" s="797"/>
      <c r="I130" s="787"/>
      <c r="J130" s="1063"/>
      <c r="K130" s="1063"/>
      <c r="L130" s="1063"/>
      <c r="M130" s="1081"/>
      <c r="N130" s="1083"/>
      <c r="O130" s="1130"/>
      <c r="P130" s="1130"/>
      <c r="Q130" s="1039"/>
      <c r="R130" s="1039"/>
      <c r="S130" s="1039"/>
      <c r="T130" s="1039"/>
      <c r="U130" s="1039"/>
      <c r="V130" s="1039"/>
      <c r="W130" s="1039"/>
      <c r="X130" s="1039"/>
      <c r="Y130" s="1039"/>
      <c r="Z130" s="1039"/>
      <c r="AA130" s="1039"/>
      <c r="AB130" s="1039"/>
      <c r="AC130" s="1039"/>
      <c r="AD130" s="1039"/>
      <c r="AE130" s="1039"/>
      <c r="AF130" s="1039"/>
      <c r="CT130" s="753"/>
      <c r="CU130" s="753"/>
      <c r="CV130" s="753"/>
      <c r="CW130" s="753"/>
      <c r="CX130" s="753"/>
      <c r="CY130" s="753"/>
      <c r="CZ130" s="753"/>
      <c r="DA130" s="753"/>
      <c r="DB130" s="753"/>
      <c r="DC130" s="753"/>
      <c r="DD130" s="753"/>
      <c r="DE130" s="753"/>
      <c r="DF130" s="753"/>
      <c r="DG130" s="753"/>
      <c r="DH130" s="753"/>
      <c r="DI130" s="753"/>
      <c r="DJ130" s="753"/>
      <c r="DK130" s="753"/>
      <c r="DL130" s="753"/>
      <c r="DM130" s="753"/>
      <c r="DN130" s="753"/>
      <c r="DO130" s="753"/>
      <c r="DP130" s="753"/>
      <c r="DQ130" s="753"/>
      <c r="DR130" s="753"/>
      <c r="DS130" s="776"/>
    </row>
    <row r="131" spans="1:124" s="758" customFormat="1">
      <c r="A131" s="798"/>
      <c r="B131" s="799"/>
      <c r="C131" s="780"/>
      <c r="D131" s="780"/>
      <c r="E131" s="780"/>
      <c r="F131" s="780"/>
      <c r="G131" s="773"/>
      <c r="H131" s="801"/>
      <c r="I131" s="764"/>
      <c r="J131" s="1063"/>
      <c r="K131" s="1063"/>
      <c r="L131" s="1063"/>
      <c r="M131" s="1127"/>
      <c r="N131" s="1039"/>
      <c r="O131" s="1039"/>
      <c r="P131" s="1130"/>
      <c r="Q131" s="1039"/>
      <c r="R131" s="1039"/>
      <c r="S131" s="1039"/>
      <c r="T131" s="1039"/>
      <c r="U131" s="1039"/>
      <c r="V131" s="1039"/>
      <c r="W131" s="1039"/>
      <c r="X131" s="1039"/>
      <c r="Y131" s="1039"/>
      <c r="Z131" s="1039"/>
      <c r="AA131" s="1039"/>
      <c r="AB131" s="1039"/>
      <c r="AC131" s="1039"/>
      <c r="AD131" s="1039"/>
      <c r="AE131" s="1039"/>
      <c r="AF131" s="1039"/>
      <c r="CT131" s="753"/>
      <c r="CU131" s="753"/>
      <c r="CV131" s="753"/>
      <c r="CW131" s="753"/>
      <c r="CX131" s="753"/>
      <c r="CY131" s="753"/>
      <c r="CZ131" s="753"/>
      <c r="DA131" s="753"/>
      <c r="DB131" s="753"/>
      <c r="DC131" s="753"/>
      <c r="DD131" s="753"/>
      <c r="DE131" s="753"/>
      <c r="DF131" s="753"/>
      <c r="DG131" s="753"/>
      <c r="DH131" s="753"/>
      <c r="DI131" s="753"/>
      <c r="DJ131" s="753"/>
      <c r="DK131" s="753"/>
      <c r="DL131" s="753"/>
      <c r="DM131" s="753"/>
      <c r="DN131" s="753"/>
      <c r="DO131" s="753"/>
      <c r="DP131" s="753"/>
      <c r="DQ131" s="753"/>
      <c r="DR131" s="753"/>
      <c r="DS131" s="776"/>
    </row>
    <row r="132" spans="1:124" s="758" customFormat="1" ht="16.5">
      <c r="A132" s="794"/>
      <c r="B132" s="799"/>
      <c r="C132" s="795"/>
      <c r="D132" s="780"/>
      <c r="E132" s="780"/>
      <c r="F132" s="773"/>
      <c r="G132" s="780"/>
      <c r="H132" s="780"/>
      <c r="I132" s="788"/>
      <c r="J132" s="1063"/>
      <c r="K132" s="1063"/>
      <c r="L132" s="1063"/>
      <c r="M132" s="1081"/>
      <c r="N132" s="1083"/>
      <c r="O132" s="1130"/>
      <c r="P132" s="1130"/>
      <c r="Q132" s="1039"/>
      <c r="R132" s="1039"/>
      <c r="S132" s="1039"/>
      <c r="T132" s="1039"/>
      <c r="U132" s="1039"/>
      <c r="V132" s="1039"/>
      <c r="W132" s="1039"/>
      <c r="X132" s="1039"/>
      <c r="Y132" s="1039"/>
      <c r="Z132" s="1039"/>
      <c r="AA132" s="1039"/>
      <c r="AB132" s="1039"/>
      <c r="AC132" s="1039"/>
      <c r="AD132" s="1039"/>
      <c r="AE132" s="1039"/>
      <c r="AF132" s="1039"/>
      <c r="CT132" s="753"/>
      <c r="CU132" s="753"/>
      <c r="CV132" s="753"/>
      <c r="CW132" s="753"/>
      <c r="CX132" s="753"/>
      <c r="CY132" s="753"/>
      <c r="CZ132" s="753"/>
      <c r="DA132" s="753"/>
      <c r="DB132" s="753"/>
      <c r="DC132" s="753"/>
      <c r="DD132" s="753"/>
      <c r="DE132" s="753"/>
      <c r="DF132" s="753"/>
      <c r="DG132" s="753"/>
      <c r="DH132" s="753"/>
      <c r="DI132" s="753"/>
      <c r="DJ132" s="753"/>
      <c r="DK132" s="753"/>
      <c r="DL132" s="753"/>
      <c r="DM132" s="753"/>
      <c r="DN132" s="753"/>
      <c r="DO132" s="753"/>
      <c r="DP132" s="753"/>
      <c r="DQ132" s="753"/>
      <c r="DR132" s="753"/>
      <c r="DS132" s="776"/>
    </row>
    <row r="133" spans="1:124" s="758" customFormat="1">
      <c r="A133" s="798"/>
      <c r="B133" s="799"/>
      <c r="C133" s="780"/>
      <c r="D133" s="780"/>
      <c r="E133" s="780"/>
      <c r="F133" s="780"/>
      <c r="G133" s="780"/>
      <c r="H133" s="784"/>
      <c r="I133" s="785"/>
      <c r="J133" s="1063"/>
      <c r="K133" s="1063"/>
      <c r="L133" s="1063"/>
      <c r="M133" s="1081"/>
      <c r="N133" s="1083"/>
      <c r="O133" s="1130"/>
      <c r="P133" s="1130"/>
      <c r="Q133" s="1039"/>
      <c r="R133" s="1039"/>
      <c r="S133" s="1039"/>
      <c r="T133" s="1039"/>
      <c r="U133" s="1039"/>
      <c r="V133" s="1039"/>
      <c r="W133" s="1039"/>
      <c r="X133" s="1039"/>
      <c r="Y133" s="1039"/>
      <c r="Z133" s="1039"/>
      <c r="AA133" s="1039"/>
      <c r="AB133" s="1039"/>
      <c r="AC133" s="1039"/>
      <c r="AD133" s="1039"/>
      <c r="AE133" s="1039"/>
      <c r="AF133" s="1039"/>
      <c r="CT133" s="753"/>
      <c r="CU133" s="753"/>
      <c r="CV133" s="753"/>
      <c r="CW133" s="753"/>
      <c r="CX133" s="753"/>
      <c r="CY133" s="753"/>
      <c r="CZ133" s="753"/>
      <c r="DA133" s="753"/>
      <c r="DB133" s="753"/>
      <c r="DC133" s="753"/>
      <c r="DD133" s="753"/>
      <c r="DE133" s="753"/>
      <c r="DF133" s="753"/>
      <c r="DG133" s="753"/>
      <c r="DH133" s="753"/>
      <c r="DI133" s="753"/>
      <c r="DJ133" s="753"/>
      <c r="DK133" s="753"/>
      <c r="DL133" s="753"/>
      <c r="DM133" s="753"/>
      <c r="DN133" s="753"/>
      <c r="DO133" s="753"/>
      <c r="DP133" s="753"/>
      <c r="DQ133" s="753"/>
      <c r="DR133" s="753"/>
      <c r="DS133" s="776"/>
    </row>
    <row r="134" spans="1:124" s="758" customFormat="1">
      <c r="A134" s="798"/>
      <c r="B134" s="799"/>
      <c r="C134" s="780"/>
      <c r="D134" s="780"/>
      <c r="E134" s="770"/>
      <c r="F134" s="780"/>
      <c r="G134" s="780"/>
      <c r="H134" s="780"/>
      <c r="I134" s="764"/>
      <c r="J134" s="1063"/>
      <c r="K134" s="1063"/>
      <c r="L134" s="1063"/>
      <c r="M134" s="1144"/>
      <c r="N134" s="1090"/>
      <c r="O134" s="1130"/>
      <c r="P134" s="1130"/>
      <c r="Q134" s="1039"/>
      <c r="R134" s="1039"/>
      <c r="S134" s="1039"/>
      <c r="T134" s="1039"/>
      <c r="U134" s="1039"/>
      <c r="V134" s="1039"/>
      <c r="W134" s="1039"/>
      <c r="X134" s="1039"/>
      <c r="Y134" s="1039"/>
      <c r="Z134" s="1039"/>
      <c r="AA134" s="1039"/>
      <c r="AB134" s="1039"/>
      <c r="AC134" s="1039"/>
      <c r="AD134" s="1039"/>
      <c r="AE134" s="1039"/>
      <c r="AF134" s="1039"/>
      <c r="CT134" s="753"/>
      <c r="CU134" s="753"/>
      <c r="CV134" s="753"/>
      <c r="CW134" s="753"/>
      <c r="CX134" s="753"/>
      <c r="CY134" s="753"/>
      <c r="CZ134" s="753"/>
      <c r="DA134" s="753"/>
      <c r="DB134" s="753"/>
      <c r="DC134" s="753"/>
      <c r="DD134" s="753"/>
      <c r="DE134" s="753"/>
      <c r="DF134" s="753"/>
      <c r="DG134" s="753"/>
      <c r="DH134" s="753"/>
      <c r="DI134" s="753"/>
      <c r="DJ134" s="753"/>
      <c r="DK134" s="753"/>
      <c r="DL134" s="753"/>
      <c r="DM134" s="753"/>
      <c r="DN134" s="753"/>
      <c r="DO134" s="753"/>
      <c r="DP134" s="753"/>
      <c r="DQ134" s="753"/>
      <c r="DR134" s="753"/>
      <c r="DS134" s="776"/>
      <c r="DT134" s="779"/>
    </row>
    <row r="135" spans="1:124" s="758" customFormat="1" ht="15.75">
      <c r="A135" s="794"/>
      <c r="B135" s="800"/>
      <c r="C135" s="780"/>
      <c r="D135" s="780"/>
      <c r="E135" s="770"/>
      <c r="F135" s="780"/>
      <c r="G135" s="780"/>
      <c r="H135" s="780"/>
      <c r="I135" s="788"/>
      <c r="J135" s="1063"/>
      <c r="K135" s="1063"/>
      <c r="L135" s="1063"/>
      <c r="M135" s="1063"/>
      <c r="N135" s="1039"/>
      <c r="O135" s="1039"/>
      <c r="P135" s="1130"/>
      <c r="Q135" s="1039"/>
      <c r="R135" s="1039"/>
      <c r="S135" s="1039"/>
      <c r="T135" s="1039"/>
      <c r="U135" s="1039"/>
      <c r="V135" s="1039"/>
      <c r="W135" s="1039"/>
      <c r="X135" s="1039"/>
      <c r="Y135" s="1039"/>
      <c r="Z135" s="1039"/>
      <c r="AA135" s="1039"/>
      <c r="AB135" s="1039"/>
      <c r="AC135" s="1039"/>
      <c r="AD135" s="1039"/>
      <c r="AE135" s="1039"/>
      <c r="AF135" s="1039"/>
      <c r="CT135" s="753"/>
      <c r="CU135" s="753"/>
      <c r="CV135" s="753"/>
      <c r="CW135" s="753"/>
      <c r="CX135" s="753"/>
      <c r="CY135" s="753"/>
      <c r="CZ135" s="753"/>
      <c r="DA135" s="753"/>
      <c r="DB135" s="753"/>
      <c r="DC135" s="753"/>
      <c r="DD135" s="753"/>
      <c r="DE135" s="753"/>
      <c r="DF135" s="753"/>
      <c r="DG135" s="753"/>
      <c r="DH135" s="753"/>
      <c r="DI135" s="753"/>
      <c r="DJ135" s="753"/>
      <c r="DK135" s="753"/>
      <c r="DL135" s="753"/>
      <c r="DM135" s="753"/>
      <c r="DN135" s="753"/>
      <c r="DO135" s="753"/>
      <c r="DP135" s="753"/>
      <c r="DQ135" s="753"/>
      <c r="DR135" s="753"/>
      <c r="DS135" s="776"/>
    </row>
    <row r="136" spans="1:124" s="758" customFormat="1" ht="15.75">
      <c r="A136" s="794"/>
      <c r="B136" s="800"/>
      <c r="C136" s="780"/>
      <c r="D136" s="780"/>
      <c r="E136" s="802"/>
      <c r="F136" s="780"/>
      <c r="G136" s="780"/>
      <c r="H136" s="780"/>
      <c r="I136" s="788"/>
      <c r="J136" s="1063"/>
      <c r="K136" s="1063"/>
      <c r="L136" s="1063"/>
      <c r="M136" s="1149"/>
      <c r="N136" s="1083"/>
      <c r="O136" s="1150"/>
      <c r="P136" s="1130"/>
      <c r="Q136" s="1039"/>
      <c r="R136" s="1039"/>
      <c r="S136" s="1039"/>
      <c r="T136" s="1039"/>
      <c r="U136" s="1039"/>
      <c r="V136" s="1039"/>
      <c r="W136" s="1039"/>
      <c r="X136" s="1039"/>
      <c r="Y136" s="1039"/>
      <c r="Z136" s="1039"/>
      <c r="AA136" s="1039"/>
      <c r="AB136" s="1039"/>
      <c r="AC136" s="1039"/>
      <c r="AD136" s="1039"/>
      <c r="AE136" s="1039"/>
      <c r="AF136" s="1039"/>
      <c r="CT136" s="753"/>
      <c r="CU136" s="753"/>
      <c r="CV136" s="753"/>
      <c r="CW136" s="753"/>
      <c r="CX136" s="753"/>
      <c r="CY136" s="753"/>
      <c r="CZ136" s="753"/>
      <c r="DA136" s="753"/>
      <c r="DB136" s="753"/>
      <c r="DC136" s="753"/>
      <c r="DD136" s="753"/>
      <c r="DE136" s="753"/>
      <c r="DF136" s="753"/>
      <c r="DG136" s="753"/>
      <c r="DH136" s="753"/>
      <c r="DI136" s="753"/>
      <c r="DJ136" s="753"/>
      <c r="DK136" s="753"/>
      <c r="DL136" s="753"/>
      <c r="DM136" s="753"/>
      <c r="DN136" s="753"/>
      <c r="DO136" s="753"/>
      <c r="DP136" s="753"/>
      <c r="DQ136" s="753"/>
      <c r="DR136" s="753"/>
      <c r="DS136" s="776"/>
    </row>
    <row r="137" spans="1:124" s="758" customFormat="1">
      <c r="A137" s="780"/>
      <c r="B137" s="800"/>
      <c r="C137" s="804"/>
      <c r="D137" s="805"/>
      <c r="E137" s="780"/>
      <c r="F137" s="780"/>
      <c r="G137" s="780"/>
      <c r="H137" s="797"/>
      <c r="I137" s="787"/>
      <c r="J137" s="1063"/>
      <c r="K137" s="1081"/>
      <c r="L137" s="1076"/>
      <c r="M137" s="1149"/>
      <c r="N137" s="1083"/>
      <c r="O137" s="1130"/>
      <c r="P137" s="1130"/>
      <c r="Q137" s="1039"/>
      <c r="R137" s="1039"/>
      <c r="S137" s="1039"/>
      <c r="T137" s="1039"/>
      <c r="U137" s="1039"/>
      <c r="V137" s="1039"/>
      <c r="W137" s="1039"/>
      <c r="X137" s="1039"/>
      <c r="Y137" s="1039"/>
      <c r="Z137" s="1039"/>
      <c r="AA137" s="1039"/>
      <c r="AB137" s="1039"/>
      <c r="AC137" s="1039"/>
      <c r="AD137" s="1039"/>
      <c r="AE137" s="1039"/>
      <c r="AF137" s="1039"/>
      <c r="CT137" s="753"/>
      <c r="CU137" s="753"/>
      <c r="CV137" s="753"/>
      <c r="CW137" s="753"/>
      <c r="CX137" s="753"/>
      <c r="CY137" s="753"/>
      <c r="CZ137" s="753"/>
      <c r="DA137" s="753"/>
      <c r="DB137" s="753"/>
      <c r="DC137" s="753"/>
      <c r="DD137" s="753"/>
      <c r="DE137" s="753"/>
      <c r="DF137" s="753"/>
      <c r="DG137" s="753"/>
      <c r="DH137" s="753"/>
      <c r="DI137" s="753"/>
      <c r="DJ137" s="753"/>
      <c r="DK137" s="753"/>
      <c r="DL137" s="753"/>
      <c r="DM137" s="753"/>
      <c r="DN137" s="753"/>
      <c r="DO137" s="753"/>
      <c r="DP137" s="753"/>
      <c r="DQ137" s="753"/>
      <c r="DR137" s="753"/>
      <c r="DS137" s="776"/>
    </row>
    <row r="138" spans="1:124" s="758" customFormat="1">
      <c r="A138" s="780"/>
      <c r="B138" s="780"/>
      <c r="C138" s="780"/>
      <c r="D138" s="780"/>
      <c r="E138" s="780"/>
      <c r="F138" s="780"/>
      <c r="G138" s="801"/>
      <c r="H138" s="797"/>
      <c r="I138" s="787"/>
      <c r="J138" s="1063"/>
      <c r="K138" s="1081"/>
      <c r="L138" s="1076"/>
      <c r="M138" s="1063"/>
      <c r="N138" s="1039"/>
      <c r="O138" s="1039"/>
      <c r="P138" s="1130"/>
      <c r="Q138" s="1039"/>
      <c r="R138" s="1039"/>
      <c r="S138" s="1039"/>
      <c r="T138" s="1039"/>
      <c r="U138" s="1039"/>
      <c r="V138" s="1039"/>
      <c r="W138" s="1039"/>
      <c r="X138" s="1039"/>
      <c r="Y138" s="1039"/>
      <c r="Z138" s="1039"/>
      <c r="AA138" s="1039"/>
      <c r="AB138" s="1039"/>
      <c r="AC138" s="1039"/>
      <c r="AD138" s="1039"/>
      <c r="AE138" s="1039"/>
      <c r="AF138" s="1039"/>
      <c r="CT138" s="753"/>
      <c r="CU138" s="753"/>
      <c r="CV138" s="753"/>
      <c r="CW138" s="753"/>
      <c r="CX138" s="753"/>
      <c r="CY138" s="753"/>
      <c r="CZ138" s="753"/>
      <c r="DA138" s="753"/>
      <c r="DB138" s="753"/>
      <c r="DC138" s="753"/>
      <c r="DD138" s="753"/>
      <c r="DE138" s="753"/>
      <c r="DF138" s="753"/>
      <c r="DG138" s="753"/>
      <c r="DH138" s="753"/>
      <c r="DI138" s="753"/>
      <c r="DJ138" s="753"/>
      <c r="DK138" s="753"/>
      <c r="DL138" s="753"/>
      <c r="DM138" s="753"/>
      <c r="DN138" s="753"/>
      <c r="DO138" s="753"/>
      <c r="DP138" s="753"/>
      <c r="DQ138" s="753"/>
      <c r="DR138" s="753"/>
      <c r="DS138" s="776"/>
    </row>
    <row r="139" spans="1:124" s="758" customFormat="1">
      <c r="A139" s="806"/>
      <c r="B139" s="780"/>
      <c r="C139" s="780"/>
      <c r="D139" s="780"/>
      <c r="E139" s="780"/>
      <c r="F139" s="780"/>
      <c r="G139" s="780"/>
      <c r="H139" s="780"/>
      <c r="I139" s="788"/>
      <c r="J139" s="1063"/>
      <c r="K139" s="1063"/>
      <c r="L139" s="1063"/>
      <c r="M139" s="1081"/>
      <c r="N139" s="1151"/>
      <c r="O139" s="1130"/>
      <c r="P139" s="1130"/>
      <c r="Q139" s="1039"/>
      <c r="R139" s="1039"/>
      <c r="S139" s="1039"/>
      <c r="T139" s="1039"/>
      <c r="U139" s="1039"/>
      <c r="V139" s="1039"/>
      <c r="W139" s="1039"/>
      <c r="X139" s="1039"/>
      <c r="Y139" s="1039"/>
      <c r="Z139" s="1039"/>
      <c r="AA139" s="1039"/>
      <c r="AB139" s="1039"/>
      <c r="AC139" s="1039"/>
      <c r="AD139" s="1039"/>
      <c r="AE139" s="1039"/>
      <c r="AF139" s="1039"/>
      <c r="CT139" s="753"/>
      <c r="CU139" s="753"/>
      <c r="CV139" s="753"/>
      <c r="CW139" s="753"/>
      <c r="CX139" s="753"/>
      <c r="CY139" s="753"/>
      <c r="CZ139" s="753"/>
      <c r="DA139" s="753"/>
      <c r="DB139" s="753"/>
      <c r="DC139" s="753"/>
      <c r="DD139" s="753"/>
      <c r="DE139" s="753"/>
      <c r="DF139" s="753"/>
      <c r="DG139" s="753"/>
      <c r="DH139" s="753"/>
      <c r="DI139" s="753"/>
      <c r="DJ139" s="753"/>
      <c r="DK139" s="753"/>
      <c r="DL139" s="753"/>
      <c r="DM139" s="753"/>
      <c r="DN139" s="753"/>
      <c r="DO139" s="753"/>
      <c r="DP139" s="753"/>
      <c r="DQ139" s="753"/>
      <c r="DR139" s="753"/>
      <c r="DS139" s="776"/>
    </row>
    <row r="140" spans="1:124" s="758" customFormat="1" ht="15.75">
      <c r="A140" s="794"/>
      <c r="B140" s="800"/>
      <c r="C140" s="780"/>
      <c r="D140" s="780"/>
      <c r="E140" s="780"/>
      <c r="F140" s="801"/>
      <c r="G140" s="780"/>
      <c r="H140" s="801"/>
      <c r="I140" s="764"/>
      <c r="J140" s="1063"/>
      <c r="K140" s="1063"/>
      <c r="L140" s="1063"/>
      <c r="M140" s="1081"/>
      <c r="N140" s="1083"/>
      <c r="O140" s="1130"/>
      <c r="P140" s="1130"/>
      <c r="Q140" s="1039"/>
      <c r="R140" s="1039"/>
      <c r="S140" s="1039"/>
      <c r="T140" s="1039"/>
      <c r="U140" s="1039"/>
      <c r="V140" s="1039"/>
      <c r="W140" s="1039"/>
      <c r="X140" s="1039"/>
      <c r="Y140" s="1039"/>
      <c r="Z140" s="1039"/>
      <c r="AA140" s="1039"/>
      <c r="AB140" s="1039"/>
      <c r="AC140" s="1039"/>
      <c r="AD140" s="1039"/>
      <c r="AE140" s="1039"/>
      <c r="AF140" s="1039"/>
      <c r="CT140" s="753"/>
      <c r="CU140" s="753"/>
      <c r="CV140" s="753"/>
      <c r="CW140" s="753"/>
      <c r="CX140" s="753"/>
      <c r="CY140" s="753"/>
      <c r="CZ140" s="753"/>
      <c r="DA140" s="753"/>
      <c r="DB140" s="753"/>
      <c r="DC140" s="753"/>
      <c r="DD140" s="753"/>
      <c r="DE140" s="753"/>
      <c r="DF140" s="753"/>
      <c r="DG140" s="753"/>
      <c r="DH140" s="753"/>
      <c r="DI140" s="753"/>
      <c r="DJ140" s="753"/>
      <c r="DK140" s="753"/>
      <c r="DL140" s="753"/>
      <c r="DM140" s="753"/>
      <c r="DN140" s="753"/>
      <c r="DO140" s="753"/>
      <c r="DP140" s="753"/>
      <c r="DQ140" s="753"/>
      <c r="DR140" s="753"/>
      <c r="DS140" s="776"/>
    </row>
    <row r="141" spans="1:124" s="758" customFormat="1" ht="15.75">
      <c r="A141" s="794"/>
      <c r="B141" s="800"/>
      <c r="C141" s="780"/>
      <c r="D141" s="780"/>
      <c r="E141" s="773"/>
      <c r="F141" s="773"/>
      <c r="G141" s="780"/>
      <c r="H141" s="780"/>
      <c r="I141" s="788"/>
      <c r="J141" s="1063"/>
      <c r="K141" s="1063"/>
      <c r="L141" s="1063"/>
      <c r="M141" s="1081"/>
      <c r="N141" s="1083"/>
      <c r="O141" s="1130"/>
      <c r="P141" s="1130"/>
      <c r="Q141" s="1039"/>
      <c r="R141" s="1039"/>
      <c r="S141" s="1039"/>
      <c r="T141" s="1039"/>
      <c r="U141" s="1039"/>
      <c r="V141" s="1039"/>
      <c r="W141" s="1039"/>
      <c r="X141" s="1039"/>
      <c r="Y141" s="1039"/>
      <c r="Z141" s="1039"/>
      <c r="AA141" s="1039"/>
      <c r="AB141" s="1039"/>
      <c r="AC141" s="1039"/>
      <c r="AD141" s="1039"/>
      <c r="AE141" s="1039"/>
      <c r="AF141" s="1039"/>
      <c r="CT141" s="753"/>
      <c r="CU141" s="753"/>
      <c r="CV141" s="753"/>
      <c r="CW141" s="753"/>
      <c r="CX141" s="753"/>
      <c r="CY141" s="753"/>
      <c r="CZ141" s="753"/>
      <c r="DA141" s="753"/>
      <c r="DB141" s="753"/>
      <c r="DC141" s="753"/>
      <c r="DD141" s="753"/>
      <c r="DE141" s="753"/>
      <c r="DF141" s="753"/>
      <c r="DG141" s="753"/>
      <c r="DH141" s="753"/>
      <c r="DI141" s="753"/>
      <c r="DJ141" s="753"/>
      <c r="DK141" s="753"/>
      <c r="DL141" s="753"/>
      <c r="DM141" s="753"/>
      <c r="DN141" s="753"/>
      <c r="DO141" s="753"/>
      <c r="DP141" s="753"/>
      <c r="DQ141" s="753"/>
      <c r="DR141" s="753"/>
      <c r="DS141" s="776"/>
    </row>
    <row r="142" spans="1:124" s="758" customFormat="1">
      <c r="A142" s="798"/>
      <c r="B142" s="799"/>
      <c r="C142" s="780"/>
      <c r="D142" s="780"/>
      <c r="E142" s="780"/>
      <c r="F142" s="780"/>
      <c r="G142" s="773"/>
      <c r="H142" s="773"/>
      <c r="I142" s="764"/>
      <c r="J142" s="1063"/>
      <c r="K142" s="1063"/>
      <c r="L142" s="1063"/>
      <c r="M142" s="1081"/>
      <c r="N142" s="1083"/>
      <c r="O142" s="1130"/>
      <c r="P142" s="1130"/>
      <c r="Q142" s="1039"/>
      <c r="R142" s="1039"/>
      <c r="S142" s="1039"/>
      <c r="T142" s="1039"/>
      <c r="U142" s="1039"/>
      <c r="V142" s="1039"/>
      <c r="W142" s="1039"/>
      <c r="X142" s="1039"/>
      <c r="Y142" s="1039"/>
      <c r="Z142" s="1039"/>
      <c r="AA142" s="1039"/>
      <c r="AB142" s="1039"/>
      <c r="AC142" s="1039"/>
      <c r="AD142" s="1039"/>
      <c r="AE142" s="1039"/>
      <c r="AF142" s="1039"/>
      <c r="CT142" s="753"/>
      <c r="CU142" s="753"/>
      <c r="CV142" s="753"/>
      <c r="CW142" s="753"/>
      <c r="CX142" s="753"/>
      <c r="CY142" s="753"/>
      <c r="CZ142" s="753"/>
      <c r="DA142" s="753"/>
      <c r="DB142" s="753"/>
      <c r="DC142" s="753"/>
      <c r="DD142" s="753"/>
      <c r="DE142" s="753"/>
      <c r="DF142" s="753"/>
      <c r="DG142" s="753"/>
      <c r="DH142" s="753"/>
      <c r="DI142" s="753"/>
      <c r="DJ142" s="753"/>
      <c r="DK142" s="753"/>
      <c r="DL142" s="753"/>
      <c r="DM142" s="753"/>
      <c r="DN142" s="753"/>
      <c r="DO142" s="753"/>
      <c r="DP142" s="753"/>
      <c r="DQ142" s="753"/>
      <c r="DR142" s="753"/>
      <c r="DS142" s="776"/>
    </row>
    <row r="143" spans="1:124" s="758" customFormat="1">
      <c r="A143" s="780"/>
      <c r="B143" s="780"/>
      <c r="C143" s="780"/>
      <c r="D143" s="804"/>
      <c r="E143" s="773"/>
      <c r="F143" s="773"/>
      <c r="G143" s="780"/>
      <c r="H143" s="801"/>
      <c r="I143" s="764"/>
      <c r="J143" s="1063"/>
      <c r="K143" s="808"/>
      <c r="L143" s="1063"/>
      <c r="M143" s="1081"/>
      <c r="N143" s="1083"/>
      <c r="O143" s="1039"/>
      <c r="P143" s="1130"/>
      <c r="Q143" s="1039"/>
      <c r="R143" s="1039"/>
      <c r="S143" s="1039"/>
      <c r="T143" s="1039"/>
      <c r="U143" s="1039"/>
      <c r="V143" s="1039"/>
      <c r="W143" s="1039"/>
      <c r="X143" s="1039"/>
      <c r="Y143" s="1039"/>
      <c r="Z143" s="1039"/>
      <c r="AA143" s="1039"/>
      <c r="AB143" s="1039"/>
      <c r="AC143" s="1039"/>
      <c r="AD143" s="1039"/>
      <c r="AE143" s="1039"/>
      <c r="AF143" s="1039"/>
      <c r="CT143" s="753"/>
      <c r="CU143" s="753"/>
      <c r="CV143" s="753"/>
      <c r="CW143" s="753"/>
      <c r="CX143" s="753"/>
      <c r="CY143" s="753"/>
      <c r="CZ143" s="753"/>
      <c r="DA143" s="753"/>
      <c r="DB143" s="753"/>
      <c r="DC143" s="753"/>
      <c r="DD143" s="753"/>
      <c r="DE143" s="753"/>
      <c r="DF143" s="753"/>
      <c r="DG143" s="753"/>
      <c r="DH143" s="753"/>
      <c r="DI143" s="753"/>
      <c r="DJ143" s="753"/>
      <c r="DK143" s="753"/>
      <c r="DL143" s="753"/>
      <c r="DM143" s="753"/>
      <c r="DN143" s="753"/>
      <c r="DO143" s="753"/>
      <c r="DP143" s="753"/>
      <c r="DQ143" s="753"/>
      <c r="DR143" s="753"/>
      <c r="DS143" s="776"/>
    </row>
    <row r="144" spans="1:124" s="758" customFormat="1">
      <c r="A144" s="796"/>
      <c r="B144" s="800"/>
      <c r="C144" s="804"/>
      <c r="D144" s="804"/>
      <c r="E144" s="780"/>
      <c r="F144" s="780"/>
      <c r="G144" s="773"/>
      <c r="H144" s="773"/>
      <c r="I144" s="764"/>
      <c r="J144" s="1063"/>
      <c r="K144" s="1148"/>
      <c r="L144" s="1063"/>
      <c r="M144" s="1081"/>
      <c r="N144" s="1083"/>
      <c r="O144" s="1039"/>
      <c r="P144" s="1130"/>
      <c r="Q144" s="1039"/>
      <c r="R144" s="1039"/>
      <c r="S144" s="1039"/>
      <c r="T144" s="1039"/>
      <c r="U144" s="1039"/>
      <c r="V144" s="1039"/>
      <c r="W144" s="1039"/>
      <c r="X144" s="1039"/>
      <c r="Y144" s="1039"/>
      <c r="Z144" s="1039"/>
      <c r="AA144" s="1039"/>
      <c r="AB144" s="1039"/>
      <c r="AC144" s="1039"/>
      <c r="AD144" s="1039"/>
      <c r="AE144" s="1039"/>
      <c r="AF144" s="1039"/>
      <c r="CT144" s="753"/>
      <c r="CU144" s="753"/>
      <c r="CV144" s="753"/>
      <c r="CW144" s="753"/>
      <c r="CX144" s="753"/>
      <c r="CY144" s="753"/>
      <c r="CZ144" s="753"/>
      <c r="DA144" s="753"/>
      <c r="DB144" s="753"/>
      <c r="DC144" s="753"/>
      <c r="DD144" s="753"/>
      <c r="DE144" s="753"/>
      <c r="DF144" s="753"/>
      <c r="DG144" s="753"/>
      <c r="DH144" s="753"/>
      <c r="DI144" s="753"/>
      <c r="DJ144" s="753"/>
      <c r="DK144" s="753"/>
      <c r="DL144" s="753"/>
      <c r="DM144" s="753"/>
      <c r="DN144" s="753"/>
      <c r="DO144" s="753"/>
      <c r="DP144" s="753"/>
      <c r="DQ144" s="753"/>
      <c r="DR144" s="753"/>
      <c r="DS144" s="776"/>
    </row>
    <row r="145" spans="1:124" s="758" customFormat="1">
      <c r="A145" s="798"/>
      <c r="B145" s="800"/>
      <c r="C145" s="809"/>
      <c r="D145" s="804"/>
      <c r="E145" s="773"/>
      <c r="F145" s="773"/>
      <c r="G145" s="773"/>
      <c r="H145" s="797"/>
      <c r="I145" s="787"/>
      <c r="J145" s="1063"/>
      <c r="K145" s="1081"/>
      <c r="L145" s="1063"/>
      <c r="M145" s="1081"/>
      <c r="N145" s="1076"/>
      <c r="O145" s="1130"/>
      <c r="P145" s="1152"/>
      <c r="Q145" s="1039"/>
      <c r="R145" s="1039"/>
      <c r="S145" s="1039"/>
      <c r="T145" s="1039"/>
      <c r="U145" s="1039"/>
      <c r="V145" s="1039"/>
      <c r="W145" s="1039"/>
      <c r="X145" s="1039"/>
      <c r="Y145" s="1039"/>
      <c r="Z145" s="1039"/>
      <c r="AA145" s="1039"/>
      <c r="AB145" s="1039"/>
      <c r="AC145" s="1039"/>
      <c r="AD145" s="1039"/>
      <c r="AE145" s="1039"/>
      <c r="AF145" s="1039"/>
      <c r="CT145" s="753"/>
      <c r="CU145" s="753"/>
      <c r="CV145" s="753"/>
      <c r="CW145" s="753"/>
      <c r="CX145" s="753"/>
      <c r="CY145" s="753"/>
      <c r="CZ145" s="753"/>
      <c r="DA145" s="753"/>
      <c r="DB145" s="753"/>
      <c r="DC145" s="753"/>
      <c r="DD145" s="753"/>
      <c r="DE145" s="753"/>
      <c r="DF145" s="753"/>
      <c r="DG145" s="753"/>
      <c r="DH145" s="753"/>
      <c r="DI145" s="753"/>
      <c r="DJ145" s="753"/>
      <c r="DK145" s="753"/>
      <c r="DL145" s="753"/>
      <c r="DM145" s="753"/>
      <c r="DN145" s="753"/>
      <c r="DO145" s="753"/>
      <c r="DP145" s="753"/>
      <c r="DQ145" s="753"/>
      <c r="DR145" s="753"/>
      <c r="DS145" s="776"/>
      <c r="DT145" s="778"/>
    </row>
    <row r="146" spans="1:124" s="758" customFormat="1">
      <c r="A146" s="798"/>
      <c r="B146" s="800"/>
      <c r="C146" s="804"/>
      <c r="D146" s="804"/>
      <c r="E146" s="773"/>
      <c r="F146" s="773"/>
      <c r="G146" s="773"/>
      <c r="H146" s="773"/>
      <c r="I146" s="788"/>
      <c r="J146" s="1063"/>
      <c r="K146" s="1081"/>
      <c r="L146" s="1063"/>
      <c r="M146" s="1081"/>
      <c r="N146" s="1076"/>
      <c r="O146" s="1130"/>
      <c r="P146" s="1152"/>
      <c r="Q146" s="1039"/>
      <c r="R146" s="1039"/>
      <c r="S146" s="1039"/>
      <c r="T146" s="1039"/>
      <c r="U146" s="1039"/>
      <c r="V146" s="1039"/>
      <c r="W146" s="1039"/>
      <c r="X146" s="1039"/>
      <c r="Y146" s="1039"/>
      <c r="Z146" s="1039"/>
      <c r="AA146" s="1039"/>
      <c r="AB146" s="1039"/>
      <c r="AC146" s="1039"/>
      <c r="AD146" s="1039"/>
      <c r="AE146" s="1039"/>
      <c r="AF146" s="1039"/>
      <c r="CT146" s="753"/>
      <c r="CU146" s="753"/>
      <c r="CV146" s="753"/>
      <c r="CW146" s="753"/>
      <c r="CX146" s="753"/>
      <c r="CY146" s="753"/>
      <c r="CZ146" s="753"/>
      <c r="DA146" s="753"/>
      <c r="DB146" s="753"/>
      <c r="DC146" s="753"/>
      <c r="DD146" s="753"/>
      <c r="DE146" s="753"/>
      <c r="DF146" s="753"/>
      <c r="DG146" s="753"/>
      <c r="DH146" s="753"/>
      <c r="DI146" s="753"/>
      <c r="DJ146" s="753"/>
      <c r="DK146" s="753"/>
      <c r="DL146" s="753"/>
      <c r="DM146" s="753"/>
      <c r="DN146" s="753"/>
      <c r="DO146" s="753"/>
      <c r="DP146" s="753"/>
      <c r="DQ146" s="753"/>
      <c r="DR146" s="753"/>
      <c r="DS146" s="776"/>
    </row>
    <row r="147" spans="1:124" s="758" customFormat="1">
      <c r="A147" s="798"/>
      <c r="B147" s="800"/>
      <c r="C147" s="804"/>
      <c r="D147" s="804"/>
      <c r="E147" s="780"/>
      <c r="F147" s="780"/>
      <c r="G147" s="780"/>
      <c r="H147" s="780"/>
      <c r="I147" s="780"/>
      <c r="J147" s="1063"/>
      <c r="K147" s="1081"/>
      <c r="L147" s="1063"/>
      <c r="M147" s="1081"/>
      <c r="N147" s="1083"/>
      <c r="O147" s="1130"/>
      <c r="P147" s="1130"/>
      <c r="Q147" s="1039"/>
      <c r="R147" s="1039"/>
      <c r="S147" s="1039"/>
      <c r="T147" s="1039"/>
      <c r="U147" s="1039"/>
      <c r="V147" s="1039"/>
      <c r="W147" s="1039"/>
      <c r="X147" s="1039"/>
      <c r="Y147" s="1039"/>
      <c r="Z147" s="1039"/>
      <c r="AA147" s="1039"/>
      <c r="AB147" s="1039"/>
      <c r="AC147" s="1039"/>
      <c r="AD147" s="1039"/>
      <c r="AE147" s="1039"/>
      <c r="AF147" s="1039"/>
      <c r="CT147" s="753"/>
      <c r="CU147" s="753"/>
      <c r="CV147" s="753"/>
      <c r="CW147" s="753"/>
      <c r="CX147" s="753"/>
      <c r="CY147" s="753"/>
      <c r="CZ147" s="753"/>
      <c r="DA147" s="753"/>
      <c r="DB147" s="753"/>
      <c r="DC147" s="753"/>
      <c r="DD147" s="753"/>
      <c r="DE147" s="753"/>
      <c r="DF147" s="753"/>
      <c r="DG147" s="753"/>
      <c r="DH147" s="753"/>
      <c r="DI147" s="753"/>
      <c r="DJ147" s="753"/>
      <c r="DK147" s="753"/>
      <c r="DL147" s="753"/>
      <c r="DM147" s="753"/>
      <c r="DN147" s="753"/>
      <c r="DO147" s="753"/>
      <c r="DP147" s="753"/>
      <c r="DQ147" s="753"/>
      <c r="DR147" s="753"/>
      <c r="DS147" s="776"/>
    </row>
    <row r="148" spans="1:124" s="758" customFormat="1">
      <c r="A148" s="798"/>
      <c r="B148" s="800"/>
      <c r="C148" s="804"/>
      <c r="D148" s="804"/>
      <c r="E148" s="780"/>
      <c r="F148" s="780"/>
      <c r="G148" s="780"/>
      <c r="H148" s="780"/>
      <c r="I148" s="780"/>
      <c r="J148" s="1063"/>
      <c r="K148" s="1063"/>
      <c r="L148" s="1063"/>
      <c r="M148" s="1081"/>
      <c r="N148" s="1083"/>
      <c r="O148" s="1130"/>
      <c r="P148" s="1130"/>
      <c r="Q148" s="1039"/>
      <c r="R148" s="1039"/>
      <c r="S148" s="1039"/>
      <c r="T148" s="1039"/>
      <c r="U148" s="1039"/>
      <c r="V148" s="1039"/>
      <c r="W148" s="1039"/>
      <c r="X148" s="1039"/>
      <c r="Y148" s="1039"/>
      <c r="Z148" s="1039"/>
      <c r="AA148" s="1039"/>
      <c r="AB148" s="1039"/>
      <c r="AC148" s="1039"/>
      <c r="AD148" s="1039"/>
      <c r="AE148" s="1039"/>
      <c r="AF148" s="1039"/>
      <c r="CT148" s="753"/>
      <c r="CU148" s="753"/>
      <c r="CV148" s="753"/>
      <c r="CW148" s="753"/>
      <c r="CX148" s="753"/>
      <c r="CY148" s="753"/>
      <c r="CZ148" s="753"/>
      <c r="DA148" s="753"/>
      <c r="DB148" s="753"/>
      <c r="DC148" s="753"/>
      <c r="DD148" s="753"/>
      <c r="DE148" s="753"/>
      <c r="DF148" s="753"/>
      <c r="DG148" s="753"/>
      <c r="DH148" s="753"/>
      <c r="DI148" s="753"/>
      <c r="DJ148" s="753"/>
      <c r="DK148" s="753"/>
      <c r="DL148" s="753"/>
      <c r="DM148" s="753"/>
      <c r="DN148" s="753"/>
      <c r="DO148" s="753"/>
      <c r="DP148" s="753"/>
      <c r="DQ148" s="753"/>
      <c r="DR148" s="753"/>
      <c r="DS148" s="776"/>
    </row>
    <row r="149" spans="1:124" s="758" customFormat="1">
      <c r="A149" s="798"/>
      <c r="B149" s="800"/>
      <c r="C149" s="804"/>
      <c r="D149" s="780"/>
      <c r="E149" s="780"/>
      <c r="F149" s="780"/>
      <c r="G149" s="780"/>
      <c r="H149" s="780"/>
      <c r="I149" s="780"/>
      <c r="J149" s="1063"/>
      <c r="K149" s="1148"/>
      <c r="L149" s="1063"/>
      <c r="M149" s="1081"/>
      <c r="N149" s="1076"/>
      <c r="O149" s="1130"/>
      <c r="P149" s="1152"/>
      <c r="Q149" s="1039"/>
      <c r="R149" s="1039"/>
      <c r="S149" s="1039"/>
      <c r="T149" s="1039"/>
      <c r="U149" s="1039"/>
      <c r="V149" s="1039"/>
      <c r="W149" s="1039"/>
      <c r="X149" s="1039"/>
      <c r="Y149" s="1039"/>
      <c r="Z149" s="1039"/>
      <c r="AA149" s="1039"/>
      <c r="AB149" s="1039"/>
      <c r="AC149" s="1039"/>
      <c r="AD149" s="1039"/>
      <c r="AE149" s="1039"/>
      <c r="AF149" s="1039"/>
      <c r="CT149" s="753"/>
      <c r="CU149" s="753"/>
      <c r="CV149" s="753"/>
      <c r="CW149" s="753"/>
      <c r="CX149" s="753"/>
      <c r="CY149" s="753"/>
      <c r="CZ149" s="753"/>
      <c r="DA149" s="753"/>
      <c r="DB149" s="753"/>
      <c r="DC149" s="753"/>
      <c r="DD149" s="753"/>
      <c r="DE149" s="753"/>
      <c r="DF149" s="753"/>
      <c r="DG149" s="753"/>
      <c r="DH149" s="753"/>
      <c r="DI149" s="753"/>
      <c r="DJ149" s="753"/>
      <c r="DK149" s="753"/>
      <c r="DL149" s="753"/>
      <c r="DM149" s="753"/>
      <c r="DN149" s="753"/>
      <c r="DO149" s="753"/>
      <c r="DP149" s="753"/>
      <c r="DQ149" s="753"/>
      <c r="DR149" s="753"/>
      <c r="DS149" s="776"/>
    </row>
    <row r="150" spans="1:124" s="758" customFormat="1">
      <c r="A150" s="780"/>
      <c r="B150" s="780"/>
      <c r="C150" s="780"/>
      <c r="D150" s="780"/>
      <c r="E150" s="780"/>
      <c r="F150" s="780"/>
      <c r="G150" s="780"/>
      <c r="H150" s="780"/>
      <c r="I150" s="780"/>
      <c r="J150" s="1063"/>
      <c r="K150" s="1081"/>
      <c r="L150" s="1063"/>
      <c r="M150" s="1081"/>
      <c r="N150" s="1076"/>
      <c r="O150" s="1130"/>
      <c r="P150" s="1152"/>
      <c r="Q150" s="1039"/>
      <c r="R150" s="1039"/>
      <c r="S150" s="1039"/>
      <c r="T150" s="1039"/>
      <c r="U150" s="1039"/>
      <c r="V150" s="1039"/>
      <c r="W150" s="1039"/>
      <c r="X150" s="1039"/>
      <c r="Y150" s="1039"/>
      <c r="Z150" s="1039"/>
      <c r="AA150" s="1039"/>
      <c r="AB150" s="1039"/>
      <c r="AC150" s="1039"/>
      <c r="AD150" s="1039"/>
      <c r="AE150" s="1039"/>
      <c r="AF150" s="1039"/>
      <c r="CT150" s="753"/>
      <c r="CU150" s="753"/>
      <c r="CV150" s="753"/>
      <c r="CW150" s="753"/>
      <c r="CX150" s="753"/>
      <c r="CY150" s="753"/>
      <c r="CZ150" s="753"/>
      <c r="DA150" s="753"/>
      <c r="DB150" s="753"/>
      <c r="DC150" s="753"/>
      <c r="DD150" s="753"/>
      <c r="DE150" s="753"/>
      <c r="DF150" s="753"/>
      <c r="DG150" s="753"/>
      <c r="DH150" s="753"/>
      <c r="DI150" s="753"/>
      <c r="DJ150" s="753"/>
      <c r="DK150" s="753"/>
      <c r="DL150" s="753"/>
      <c r="DM150" s="753"/>
      <c r="DN150" s="753"/>
      <c r="DO150" s="753"/>
      <c r="DP150" s="753"/>
      <c r="DQ150" s="753"/>
      <c r="DR150" s="753"/>
      <c r="DS150" s="776"/>
    </row>
    <row r="151" spans="1:124" s="758" customFormat="1">
      <c r="A151" s="780"/>
      <c r="B151" s="780"/>
      <c r="C151" s="780"/>
      <c r="D151" s="780"/>
      <c r="E151" s="780"/>
      <c r="F151" s="780"/>
      <c r="G151" s="780"/>
      <c r="H151" s="780"/>
      <c r="I151" s="780"/>
      <c r="J151" s="1063"/>
      <c r="K151" s="1081"/>
      <c r="L151" s="1063"/>
      <c r="M151" s="1081"/>
      <c r="N151" s="1076"/>
      <c r="O151" s="1130"/>
      <c r="P151" s="1152"/>
      <c r="Q151" s="1039"/>
      <c r="R151" s="1039"/>
      <c r="S151" s="1039"/>
      <c r="T151" s="1039"/>
      <c r="U151" s="1039"/>
      <c r="V151" s="1039"/>
      <c r="W151" s="1039"/>
      <c r="X151" s="1039"/>
      <c r="Y151" s="1039"/>
      <c r="Z151" s="1039"/>
      <c r="AA151" s="1039"/>
      <c r="AB151" s="1039"/>
      <c r="AC151" s="1039"/>
      <c r="AD151" s="1039"/>
      <c r="AE151" s="1039"/>
      <c r="AF151" s="1039"/>
      <c r="CT151" s="753"/>
      <c r="CU151" s="753"/>
      <c r="CV151" s="753"/>
      <c r="CW151" s="753"/>
      <c r="CX151" s="753"/>
      <c r="CY151" s="753"/>
      <c r="CZ151" s="753"/>
      <c r="DA151" s="753"/>
      <c r="DB151" s="753"/>
      <c r="DC151" s="753"/>
      <c r="DD151" s="753"/>
      <c r="DE151" s="753"/>
      <c r="DF151" s="753"/>
      <c r="DG151" s="753"/>
      <c r="DH151" s="753"/>
      <c r="DI151" s="753"/>
      <c r="DJ151" s="753"/>
      <c r="DK151" s="753"/>
      <c r="DL151" s="753"/>
      <c r="DM151" s="753"/>
      <c r="DN151" s="753"/>
      <c r="DO151" s="753"/>
      <c r="DP151" s="753"/>
      <c r="DQ151" s="753"/>
      <c r="DR151" s="753"/>
      <c r="DS151" s="776"/>
      <c r="DT151" s="770"/>
    </row>
    <row r="152" spans="1:124" s="758" customFormat="1">
      <c r="A152" s="780"/>
      <c r="B152" s="780"/>
      <c r="C152" s="780"/>
      <c r="D152" s="780"/>
      <c r="E152" s="780"/>
      <c r="F152" s="780"/>
      <c r="G152" s="780"/>
      <c r="H152" s="780"/>
      <c r="I152" s="780"/>
      <c r="J152" s="1063"/>
      <c r="K152" s="1081"/>
      <c r="L152" s="1063"/>
      <c r="M152" s="1081"/>
      <c r="N152" s="1076"/>
      <c r="O152" s="1130"/>
      <c r="P152" s="1152"/>
      <c r="Q152" s="1039"/>
      <c r="R152" s="1039"/>
      <c r="S152" s="1039"/>
      <c r="T152" s="1039"/>
      <c r="U152" s="1039"/>
      <c r="V152" s="1039"/>
      <c r="W152" s="1039"/>
      <c r="X152" s="1039"/>
      <c r="Y152" s="1039"/>
      <c r="Z152" s="1039"/>
      <c r="AA152" s="1039"/>
      <c r="AB152" s="1039"/>
      <c r="AC152" s="1039"/>
      <c r="AD152" s="1039"/>
      <c r="AE152" s="1039"/>
      <c r="AF152" s="1039"/>
      <c r="CT152" s="753"/>
      <c r="CU152" s="753"/>
      <c r="CV152" s="753"/>
      <c r="CW152" s="753"/>
      <c r="CX152" s="753"/>
      <c r="CY152" s="753"/>
      <c r="CZ152" s="753"/>
      <c r="DA152" s="753"/>
      <c r="DB152" s="753"/>
      <c r="DC152" s="753"/>
      <c r="DD152" s="753"/>
      <c r="DE152" s="753"/>
      <c r="DF152" s="753"/>
      <c r="DG152" s="753"/>
      <c r="DH152" s="753"/>
      <c r="DI152" s="753"/>
      <c r="DJ152" s="753"/>
      <c r="DK152" s="753"/>
      <c r="DL152" s="753"/>
      <c r="DM152" s="753"/>
      <c r="DN152" s="753"/>
      <c r="DO152" s="753"/>
      <c r="DP152" s="753"/>
      <c r="DQ152" s="753"/>
      <c r="DR152" s="753"/>
      <c r="DS152" s="776"/>
    </row>
    <row r="153" spans="1:124" s="758" customFormat="1">
      <c r="A153" s="780"/>
      <c r="B153" s="780"/>
      <c r="C153" s="780"/>
      <c r="D153" s="780"/>
      <c r="E153" s="780"/>
      <c r="F153" s="780"/>
      <c r="G153" s="780"/>
      <c r="H153" s="780"/>
      <c r="I153" s="780"/>
      <c r="J153" s="1063"/>
      <c r="K153" s="1148"/>
      <c r="L153" s="1063"/>
      <c r="M153" s="1127"/>
      <c r="N153" s="1039"/>
      <c r="O153" s="1039"/>
      <c r="P153" s="1130"/>
      <c r="Q153" s="1039"/>
      <c r="R153" s="1039"/>
      <c r="S153" s="1039"/>
      <c r="T153" s="1039"/>
      <c r="U153" s="1039"/>
      <c r="V153" s="1039"/>
      <c r="W153" s="1039"/>
      <c r="X153" s="1039"/>
      <c r="Y153" s="1039"/>
      <c r="Z153" s="1039"/>
      <c r="AA153" s="1039"/>
      <c r="AB153" s="1039"/>
      <c r="AC153" s="1039"/>
      <c r="AD153" s="1039"/>
      <c r="AE153" s="1039"/>
      <c r="AF153" s="1039"/>
      <c r="CT153" s="753"/>
      <c r="CU153" s="753"/>
      <c r="CV153" s="753"/>
      <c r="CW153" s="753"/>
      <c r="CX153" s="753"/>
      <c r="CY153" s="753"/>
      <c r="CZ153" s="753"/>
      <c r="DA153" s="753"/>
      <c r="DB153" s="753"/>
      <c r="DC153" s="753"/>
      <c r="DD153" s="753"/>
      <c r="DE153" s="753"/>
      <c r="DF153" s="753"/>
      <c r="DG153" s="753"/>
      <c r="DH153" s="753"/>
      <c r="DI153" s="753"/>
      <c r="DJ153" s="753"/>
      <c r="DK153" s="753"/>
      <c r="DL153" s="753"/>
      <c r="DM153" s="753"/>
      <c r="DN153" s="753"/>
      <c r="DO153" s="753"/>
      <c r="DP153" s="753"/>
      <c r="DQ153" s="753"/>
      <c r="DR153" s="753"/>
      <c r="DS153" s="776"/>
    </row>
    <row r="154" spans="1:124" s="758" customFormat="1">
      <c r="A154" s="780"/>
      <c r="B154" s="780"/>
      <c r="C154" s="780"/>
      <c r="D154" s="780"/>
      <c r="E154" s="780"/>
      <c r="F154" s="780"/>
      <c r="G154" s="780"/>
      <c r="H154" s="780"/>
      <c r="I154" s="780"/>
      <c r="J154" s="1063"/>
      <c r="K154" s="1063"/>
      <c r="L154" s="1063"/>
      <c r="M154" s="1127"/>
      <c r="N154" s="1039"/>
      <c r="O154" s="1039"/>
      <c r="P154" s="1130"/>
      <c r="Q154" s="1039"/>
      <c r="R154" s="1039"/>
      <c r="S154" s="1039"/>
      <c r="T154" s="1039"/>
      <c r="U154" s="1039"/>
      <c r="V154" s="1039"/>
      <c r="W154" s="1039"/>
      <c r="X154" s="1039"/>
      <c r="Y154" s="1039"/>
      <c r="Z154" s="1039"/>
      <c r="AA154" s="1039"/>
      <c r="AB154" s="1039"/>
      <c r="AC154" s="1039"/>
      <c r="AD154" s="1039"/>
      <c r="AE154" s="1039"/>
      <c r="AF154" s="1039"/>
      <c r="CT154" s="753"/>
      <c r="CU154" s="753"/>
      <c r="CV154" s="753"/>
      <c r="CW154" s="753"/>
      <c r="CX154" s="753"/>
      <c r="CY154" s="753"/>
      <c r="CZ154" s="753"/>
      <c r="DA154" s="753"/>
      <c r="DB154" s="753"/>
      <c r="DC154" s="753"/>
      <c r="DD154" s="753"/>
      <c r="DE154" s="753"/>
      <c r="DF154" s="753"/>
      <c r="DG154" s="753"/>
      <c r="DH154" s="753"/>
      <c r="DI154" s="753"/>
      <c r="DJ154" s="753"/>
      <c r="DK154" s="753"/>
      <c r="DL154" s="753"/>
      <c r="DM154" s="753"/>
      <c r="DN154" s="753"/>
      <c r="DO154" s="753"/>
      <c r="DP154" s="753"/>
      <c r="DQ154" s="753"/>
      <c r="DR154" s="753"/>
      <c r="DS154" s="776"/>
    </row>
    <row r="155" spans="1:124" s="758" customFormat="1">
      <c r="A155" s="780"/>
      <c r="B155" s="780"/>
      <c r="C155" s="780"/>
      <c r="D155" s="780"/>
      <c r="E155" s="780"/>
      <c r="F155" s="780"/>
      <c r="G155" s="780"/>
      <c r="H155" s="780"/>
      <c r="I155" s="780"/>
      <c r="J155" s="1063"/>
      <c r="K155" s="1063"/>
      <c r="L155" s="1063"/>
      <c r="M155" s="1127"/>
      <c r="N155" s="1039"/>
      <c r="O155" s="1039"/>
      <c r="P155" s="1130"/>
      <c r="Q155" s="1039"/>
      <c r="R155" s="1039"/>
      <c r="S155" s="1039"/>
      <c r="T155" s="1039"/>
      <c r="U155" s="1039"/>
      <c r="V155" s="1039"/>
      <c r="W155" s="1039"/>
      <c r="X155" s="1039"/>
      <c r="Y155" s="1039"/>
      <c r="Z155" s="1039"/>
      <c r="AA155" s="1039"/>
      <c r="AB155" s="1039"/>
      <c r="AC155" s="1039"/>
      <c r="AD155" s="1039"/>
      <c r="AE155" s="1039"/>
      <c r="AF155" s="1039"/>
      <c r="CT155" s="753"/>
      <c r="CU155" s="753"/>
      <c r="CV155" s="753"/>
      <c r="CW155" s="753"/>
      <c r="CX155" s="753"/>
      <c r="CY155" s="753"/>
      <c r="CZ155" s="753"/>
      <c r="DA155" s="753"/>
      <c r="DB155" s="753"/>
      <c r="DC155" s="753"/>
      <c r="DD155" s="753"/>
      <c r="DE155" s="753"/>
      <c r="DF155" s="753"/>
      <c r="DG155" s="753"/>
      <c r="DH155" s="753"/>
      <c r="DI155" s="753"/>
      <c r="DJ155" s="753"/>
      <c r="DK155" s="753"/>
      <c r="DL155" s="753"/>
      <c r="DM155" s="753"/>
      <c r="DN155" s="753"/>
      <c r="DO155" s="753"/>
      <c r="DP155" s="753"/>
      <c r="DQ155" s="753"/>
      <c r="DR155" s="753"/>
      <c r="DS155" s="776"/>
    </row>
    <row r="156" spans="1:124" s="758" customFormat="1">
      <c r="A156" s="780"/>
      <c r="B156" s="780"/>
      <c r="C156" s="780"/>
      <c r="D156" s="780"/>
      <c r="E156" s="780"/>
      <c r="F156" s="780"/>
      <c r="G156" s="780"/>
      <c r="H156" s="780"/>
      <c r="I156" s="780"/>
      <c r="J156" s="1063"/>
      <c r="K156" s="1063"/>
      <c r="L156" s="1063"/>
      <c r="M156" s="1127"/>
      <c r="N156" s="1039"/>
      <c r="O156" s="1039"/>
      <c r="P156" s="1130"/>
      <c r="Q156" s="1039"/>
      <c r="R156" s="1039"/>
      <c r="S156" s="1039"/>
      <c r="T156" s="1039"/>
      <c r="U156" s="1039"/>
      <c r="V156" s="1039"/>
      <c r="W156" s="1039"/>
      <c r="X156" s="1039"/>
      <c r="Y156" s="1039"/>
      <c r="Z156" s="1039"/>
      <c r="AA156" s="1039"/>
      <c r="AB156" s="1039"/>
      <c r="AC156" s="1039"/>
      <c r="AD156" s="1039"/>
      <c r="AE156" s="1039"/>
      <c r="AF156" s="1039"/>
      <c r="CT156" s="753"/>
      <c r="CU156" s="753"/>
      <c r="CV156" s="753"/>
      <c r="CW156" s="753"/>
      <c r="CX156" s="753"/>
      <c r="CY156" s="753"/>
      <c r="CZ156" s="753"/>
      <c r="DA156" s="753"/>
      <c r="DB156" s="753"/>
      <c r="DC156" s="753"/>
      <c r="DD156" s="753"/>
      <c r="DE156" s="753"/>
      <c r="DF156" s="753"/>
      <c r="DG156" s="753"/>
      <c r="DH156" s="753"/>
      <c r="DI156" s="753"/>
      <c r="DJ156" s="753"/>
      <c r="DK156" s="753"/>
      <c r="DL156" s="753"/>
      <c r="DM156" s="753"/>
      <c r="DN156" s="753"/>
      <c r="DO156" s="753"/>
      <c r="DP156" s="753"/>
      <c r="DQ156" s="753"/>
      <c r="DR156" s="753"/>
      <c r="DS156" s="776"/>
    </row>
    <row r="157" spans="1:124" s="758" customFormat="1">
      <c r="A157" s="780"/>
      <c r="B157" s="780"/>
      <c r="C157" s="780"/>
      <c r="D157" s="780"/>
      <c r="E157" s="780"/>
      <c r="F157" s="780"/>
      <c r="G157" s="780"/>
      <c r="H157" s="780"/>
      <c r="I157" s="780"/>
      <c r="J157" s="1063"/>
      <c r="K157" s="1063"/>
      <c r="L157" s="1063"/>
      <c r="M157" s="1127"/>
      <c r="N157" s="1039"/>
      <c r="O157" s="1039"/>
      <c r="P157" s="1130"/>
      <c r="Q157" s="1039"/>
      <c r="R157" s="1039"/>
      <c r="S157" s="1039"/>
      <c r="T157" s="1039"/>
      <c r="U157" s="1039"/>
      <c r="V157" s="1039"/>
      <c r="W157" s="1039"/>
      <c r="X157" s="1039"/>
      <c r="Y157" s="1039"/>
      <c r="Z157" s="1039"/>
      <c r="AA157" s="1039"/>
      <c r="AB157" s="1039"/>
      <c r="AC157" s="1039"/>
      <c r="AD157" s="1039"/>
      <c r="AE157" s="1039"/>
      <c r="AF157" s="1039"/>
      <c r="CT157" s="753"/>
      <c r="CU157" s="753"/>
      <c r="CV157" s="753"/>
      <c r="CW157" s="753"/>
      <c r="CX157" s="753"/>
      <c r="CY157" s="753"/>
      <c r="CZ157" s="753"/>
      <c r="DA157" s="753"/>
      <c r="DB157" s="753"/>
      <c r="DC157" s="753"/>
      <c r="DD157" s="753"/>
      <c r="DE157" s="753"/>
      <c r="DF157" s="753"/>
      <c r="DG157" s="753"/>
      <c r="DH157" s="753"/>
      <c r="DI157" s="753"/>
      <c r="DJ157" s="753"/>
      <c r="DK157" s="753"/>
      <c r="DL157" s="753"/>
      <c r="DM157" s="753"/>
      <c r="DN157" s="753"/>
      <c r="DO157" s="753"/>
      <c r="DP157" s="753"/>
      <c r="DQ157" s="753"/>
      <c r="DR157" s="753"/>
      <c r="DS157" s="776"/>
    </row>
    <row r="158" spans="1:124" s="758" customFormat="1">
      <c r="A158" s="780"/>
      <c r="B158" s="780"/>
      <c r="C158" s="780"/>
      <c r="D158" s="780"/>
      <c r="E158" s="780"/>
      <c r="F158" s="780"/>
      <c r="G158" s="780"/>
      <c r="H158" s="780"/>
      <c r="I158" s="780"/>
      <c r="J158" s="1063"/>
      <c r="K158" s="1063"/>
      <c r="L158" s="1063"/>
      <c r="M158" s="1127"/>
      <c r="N158" s="1039"/>
      <c r="O158" s="1039"/>
      <c r="P158" s="1130"/>
      <c r="Q158" s="1039"/>
      <c r="R158" s="1039"/>
      <c r="S158" s="1039"/>
      <c r="T158" s="1039"/>
      <c r="U158" s="1039"/>
      <c r="V158" s="1039"/>
      <c r="W158" s="1039"/>
      <c r="X158" s="1039"/>
      <c r="Y158" s="1039"/>
      <c r="Z158" s="1039"/>
      <c r="AA158" s="1039"/>
      <c r="AB158" s="1039"/>
      <c r="AC158" s="1039"/>
      <c r="AD158" s="1039"/>
      <c r="AE158" s="1039"/>
      <c r="AF158" s="1039"/>
      <c r="CT158" s="753"/>
      <c r="CU158" s="753"/>
      <c r="CV158" s="753"/>
      <c r="CW158" s="753"/>
      <c r="CX158" s="753"/>
      <c r="CY158" s="753"/>
      <c r="CZ158" s="753"/>
      <c r="DA158" s="753"/>
      <c r="DB158" s="753"/>
      <c r="DC158" s="753"/>
      <c r="DD158" s="753"/>
      <c r="DE158" s="753"/>
      <c r="DF158" s="753"/>
      <c r="DG158" s="753"/>
      <c r="DH158" s="753"/>
      <c r="DI158" s="753"/>
      <c r="DJ158" s="753"/>
      <c r="DK158" s="753"/>
      <c r="DL158" s="753"/>
      <c r="DM158" s="753"/>
      <c r="DN158" s="753"/>
      <c r="DO158" s="753"/>
      <c r="DP158" s="753"/>
      <c r="DQ158" s="753"/>
      <c r="DR158" s="753"/>
      <c r="DS158" s="776"/>
    </row>
    <row r="159" spans="1:124" s="758" customFormat="1">
      <c r="A159" s="780"/>
      <c r="B159" s="780"/>
      <c r="C159" s="780"/>
      <c r="D159" s="780"/>
      <c r="E159" s="780"/>
      <c r="F159" s="780"/>
      <c r="G159" s="780"/>
      <c r="H159" s="780"/>
      <c r="I159" s="780"/>
      <c r="J159" s="1063"/>
      <c r="K159" s="1063"/>
      <c r="L159" s="1063"/>
      <c r="M159" s="1081"/>
      <c r="N159" s="1151"/>
      <c r="O159" s="1130"/>
      <c r="P159" s="1130"/>
      <c r="Q159" s="1039"/>
      <c r="R159" s="1039"/>
      <c r="S159" s="1039"/>
      <c r="T159" s="1039"/>
      <c r="U159" s="1039"/>
      <c r="V159" s="1039"/>
      <c r="W159" s="1039"/>
      <c r="X159" s="1039"/>
      <c r="Y159" s="1039"/>
      <c r="Z159" s="1039"/>
      <c r="AA159" s="1039"/>
      <c r="AB159" s="1039"/>
      <c r="AC159" s="1039"/>
      <c r="AD159" s="1039"/>
      <c r="AE159" s="1039"/>
      <c r="AF159" s="1039"/>
      <c r="CT159" s="753"/>
      <c r="CU159" s="753"/>
      <c r="CV159" s="753"/>
      <c r="CW159" s="753"/>
      <c r="CX159" s="753"/>
      <c r="CY159" s="753"/>
      <c r="CZ159" s="753"/>
      <c r="DA159" s="753"/>
      <c r="DB159" s="753"/>
      <c r="DC159" s="753"/>
      <c r="DD159" s="753"/>
      <c r="DE159" s="753"/>
      <c r="DF159" s="753"/>
      <c r="DG159" s="753"/>
      <c r="DH159" s="753"/>
      <c r="DI159" s="753"/>
      <c r="DJ159" s="753"/>
      <c r="DK159" s="753"/>
      <c r="DL159" s="753"/>
      <c r="DM159" s="753"/>
      <c r="DN159" s="753"/>
      <c r="DO159" s="753"/>
      <c r="DP159" s="753"/>
      <c r="DQ159" s="753"/>
      <c r="DR159" s="753"/>
      <c r="DS159" s="776"/>
    </row>
    <row r="160" spans="1:124" s="758" customFormat="1">
      <c r="A160" s="780"/>
      <c r="B160" s="780"/>
      <c r="C160" s="780"/>
      <c r="D160" s="780"/>
      <c r="E160" s="780"/>
      <c r="F160" s="780"/>
      <c r="G160" s="780"/>
      <c r="H160" s="780"/>
      <c r="I160" s="780"/>
      <c r="J160" s="1063"/>
      <c r="K160" s="1063"/>
      <c r="L160" s="1063"/>
      <c r="M160" s="1081"/>
      <c r="N160" s="1151"/>
      <c r="O160" s="1130"/>
      <c r="P160" s="1130"/>
      <c r="Q160" s="1039"/>
      <c r="R160" s="1039"/>
      <c r="S160" s="1039"/>
      <c r="T160" s="1039"/>
      <c r="U160" s="1039"/>
      <c r="V160" s="1039"/>
      <c r="W160" s="1039"/>
      <c r="X160" s="1039"/>
      <c r="Y160" s="1039"/>
      <c r="Z160" s="1039"/>
      <c r="AA160" s="1039"/>
      <c r="AB160" s="1039"/>
      <c r="AC160" s="1039"/>
      <c r="AD160" s="1039"/>
      <c r="AE160" s="1039"/>
      <c r="AF160" s="1039"/>
      <c r="CT160" s="753"/>
      <c r="CU160" s="753"/>
      <c r="CV160" s="753"/>
      <c r="CW160" s="753"/>
      <c r="CX160" s="753"/>
      <c r="CY160" s="753"/>
      <c r="CZ160" s="753"/>
      <c r="DA160" s="753"/>
      <c r="DB160" s="753"/>
      <c r="DC160" s="753"/>
      <c r="DD160" s="753"/>
      <c r="DE160" s="753"/>
      <c r="DF160" s="753"/>
      <c r="DG160" s="753"/>
      <c r="DH160" s="753"/>
      <c r="DI160" s="753"/>
      <c r="DJ160" s="753"/>
      <c r="DK160" s="753"/>
      <c r="DL160" s="753"/>
      <c r="DM160" s="753"/>
      <c r="DN160" s="753"/>
      <c r="DO160" s="753"/>
      <c r="DP160" s="753"/>
      <c r="DQ160" s="753"/>
      <c r="DR160" s="753"/>
      <c r="DS160" s="776"/>
    </row>
    <row r="161" spans="1:123" s="758" customFormat="1">
      <c r="A161" s="780"/>
      <c r="B161" s="780"/>
      <c r="C161" s="780"/>
      <c r="D161" s="780"/>
      <c r="E161" s="780"/>
      <c r="F161" s="780"/>
      <c r="G161" s="780"/>
      <c r="H161" s="780"/>
      <c r="I161" s="780"/>
      <c r="J161" s="1063"/>
      <c r="K161" s="1063"/>
      <c r="L161" s="1063"/>
      <c r="M161" s="1081"/>
      <c r="N161" s="1151"/>
      <c r="O161" s="1130"/>
      <c r="P161" s="1130"/>
      <c r="Q161" s="1039"/>
      <c r="R161" s="1039"/>
      <c r="S161" s="1039"/>
      <c r="T161" s="1039"/>
      <c r="U161" s="1039"/>
      <c r="V161" s="1039"/>
      <c r="W161" s="1039"/>
      <c r="X161" s="1039"/>
      <c r="Y161" s="1039"/>
      <c r="Z161" s="1039"/>
      <c r="AA161" s="1039"/>
      <c r="AB161" s="1039"/>
      <c r="AC161" s="1039"/>
      <c r="AD161" s="1039"/>
      <c r="AE161" s="1039"/>
      <c r="AF161" s="1039"/>
      <c r="CT161" s="753"/>
      <c r="CU161" s="753"/>
      <c r="CV161" s="753"/>
      <c r="CW161" s="753"/>
      <c r="CX161" s="753"/>
      <c r="CY161" s="753"/>
      <c r="CZ161" s="753"/>
      <c r="DA161" s="753"/>
      <c r="DB161" s="753"/>
      <c r="DC161" s="753"/>
      <c r="DD161" s="753"/>
      <c r="DE161" s="753"/>
      <c r="DF161" s="753"/>
      <c r="DG161" s="753"/>
      <c r="DH161" s="753"/>
      <c r="DI161" s="753"/>
      <c r="DJ161" s="753"/>
      <c r="DK161" s="753"/>
      <c r="DL161" s="753"/>
      <c r="DM161" s="753"/>
      <c r="DN161" s="753"/>
      <c r="DO161" s="753"/>
      <c r="DP161" s="753"/>
      <c r="DQ161" s="753"/>
      <c r="DR161" s="753"/>
      <c r="DS161" s="776"/>
    </row>
    <row r="162" spans="1:123" s="758" customFormat="1">
      <c r="A162" s="780"/>
      <c r="B162" s="780"/>
      <c r="C162" s="780"/>
      <c r="D162" s="780"/>
      <c r="E162" s="780"/>
      <c r="F162" s="780"/>
      <c r="G162" s="780"/>
      <c r="H162" s="788"/>
      <c r="I162" s="789"/>
      <c r="J162" s="1063"/>
      <c r="K162" s="1063"/>
      <c r="L162" s="1063"/>
      <c r="M162" s="1081"/>
      <c r="N162" s="1151"/>
      <c r="O162" s="1130"/>
      <c r="P162" s="1130"/>
      <c r="Q162" s="1039"/>
      <c r="R162" s="1039"/>
      <c r="S162" s="1039"/>
      <c r="T162" s="1039"/>
      <c r="U162" s="1039"/>
      <c r="V162" s="1039"/>
      <c r="W162" s="1039"/>
      <c r="X162" s="1039"/>
      <c r="Y162" s="1039"/>
      <c r="Z162" s="1039"/>
      <c r="AA162" s="1039"/>
      <c r="AB162" s="1039"/>
      <c r="AC162" s="1039"/>
      <c r="AD162" s="1039"/>
      <c r="AE162" s="1039"/>
      <c r="AF162" s="1039"/>
      <c r="CT162" s="753"/>
      <c r="CU162" s="753"/>
      <c r="CV162" s="753"/>
      <c r="CW162" s="753"/>
      <c r="CX162" s="753"/>
      <c r="CY162" s="753"/>
      <c r="CZ162" s="753"/>
      <c r="DA162" s="753"/>
      <c r="DB162" s="753"/>
      <c r="DC162" s="753"/>
      <c r="DD162" s="753"/>
      <c r="DE162" s="753"/>
      <c r="DF162" s="753"/>
      <c r="DG162" s="753"/>
      <c r="DH162" s="753"/>
      <c r="DI162" s="753"/>
      <c r="DJ162" s="753"/>
      <c r="DK162" s="753"/>
      <c r="DL162" s="753"/>
      <c r="DM162" s="753"/>
      <c r="DN162" s="753"/>
      <c r="DO162" s="753"/>
      <c r="DP162" s="753"/>
      <c r="DQ162" s="753"/>
      <c r="DR162" s="753"/>
      <c r="DS162" s="776"/>
    </row>
    <row r="163" spans="1:123" s="758" customFormat="1">
      <c r="A163" s="780"/>
      <c r="B163" s="780"/>
      <c r="C163" s="780"/>
      <c r="D163" s="780"/>
      <c r="E163" s="780"/>
      <c r="F163" s="780"/>
      <c r="G163" s="780"/>
      <c r="H163" s="788"/>
      <c r="I163" s="790"/>
      <c r="J163" s="1063"/>
      <c r="K163" s="1063"/>
      <c r="L163" s="1063"/>
      <c r="M163" s="782"/>
      <c r="N163" s="1151"/>
      <c r="O163" s="1039"/>
      <c r="P163" s="783"/>
      <c r="Q163" s="1039"/>
      <c r="R163" s="1039"/>
      <c r="S163" s="1039"/>
      <c r="T163" s="1039"/>
      <c r="U163" s="1039"/>
      <c r="V163" s="1039"/>
      <c r="W163" s="1039"/>
      <c r="X163" s="1039"/>
      <c r="Y163" s="1039"/>
      <c r="Z163" s="1039"/>
      <c r="AA163" s="1039"/>
      <c r="AB163" s="1039"/>
      <c r="AC163" s="1039"/>
      <c r="AD163" s="1039"/>
      <c r="AE163" s="1039"/>
      <c r="AF163" s="1039"/>
      <c r="CT163" s="753"/>
      <c r="CU163" s="753"/>
      <c r="CV163" s="753"/>
      <c r="CW163" s="753"/>
      <c r="CX163" s="753"/>
      <c r="CY163" s="753"/>
      <c r="CZ163" s="753"/>
      <c r="DA163" s="753"/>
      <c r="DB163" s="753"/>
      <c r="DC163" s="753"/>
      <c r="DD163" s="753"/>
      <c r="DE163" s="753"/>
      <c r="DF163" s="753"/>
      <c r="DG163" s="753"/>
      <c r="DH163" s="753"/>
      <c r="DI163" s="753"/>
      <c r="DJ163" s="753"/>
      <c r="DK163" s="753"/>
      <c r="DL163" s="753"/>
      <c r="DM163" s="753"/>
      <c r="DN163" s="753"/>
      <c r="DO163" s="753"/>
      <c r="DP163" s="753"/>
      <c r="DQ163" s="753"/>
      <c r="DR163" s="753"/>
      <c r="DS163" s="776"/>
    </row>
    <row r="164" spans="1:123" s="758" customFormat="1">
      <c r="A164" s="780"/>
      <c r="B164" s="780"/>
      <c r="C164" s="780"/>
      <c r="D164" s="780"/>
      <c r="E164" s="780"/>
      <c r="F164" s="780"/>
      <c r="G164" s="780"/>
      <c r="H164" s="788"/>
      <c r="I164" s="769"/>
      <c r="J164" s="1063"/>
      <c r="K164" s="1063"/>
      <c r="L164" s="1063"/>
      <c r="M164" s="1081"/>
      <c r="N164" s="1090"/>
      <c r="O164" s="1130"/>
      <c r="P164" s="1130"/>
      <c r="Q164" s="1039"/>
      <c r="R164" s="1039"/>
      <c r="S164" s="1039"/>
      <c r="T164" s="1039"/>
      <c r="U164" s="1039"/>
      <c r="V164" s="1039"/>
      <c r="W164" s="1039"/>
      <c r="X164" s="1039"/>
      <c r="Y164" s="1039"/>
      <c r="Z164" s="1039"/>
      <c r="AA164" s="1039"/>
      <c r="AB164" s="1039"/>
      <c r="AC164" s="1039"/>
      <c r="AD164" s="1039"/>
      <c r="AE164" s="1039"/>
      <c r="AF164" s="1039"/>
      <c r="CT164" s="753"/>
      <c r="CU164" s="753"/>
      <c r="CV164" s="753"/>
      <c r="CW164" s="753"/>
      <c r="CX164" s="753"/>
      <c r="CY164" s="753"/>
      <c r="CZ164" s="753"/>
      <c r="DA164" s="753"/>
      <c r="DB164" s="753"/>
      <c r="DC164" s="753"/>
      <c r="DD164" s="753"/>
      <c r="DE164" s="753"/>
      <c r="DF164" s="753"/>
      <c r="DG164" s="753"/>
      <c r="DH164" s="753"/>
      <c r="DI164" s="753"/>
      <c r="DJ164" s="753"/>
      <c r="DK164" s="753"/>
      <c r="DL164" s="753"/>
      <c r="DM164" s="753"/>
      <c r="DN164" s="753"/>
      <c r="DO164" s="753"/>
      <c r="DP164" s="753"/>
      <c r="DQ164" s="753"/>
      <c r="DR164" s="753"/>
      <c r="DS164" s="776"/>
    </row>
    <row r="165" spans="1:123" s="758" customFormat="1">
      <c r="A165" s="792"/>
      <c r="B165" s="780"/>
      <c r="C165" s="780"/>
      <c r="D165" s="780"/>
      <c r="E165" s="780"/>
      <c r="F165" s="780"/>
      <c r="G165" s="780"/>
      <c r="H165" s="788"/>
      <c r="I165" s="791"/>
      <c r="J165" s="1063"/>
      <c r="K165" s="1063"/>
      <c r="L165" s="1063"/>
      <c r="M165" s="1081"/>
      <c r="N165" s="1090"/>
      <c r="O165" s="1130"/>
      <c r="P165" s="1130"/>
      <c r="Q165" s="1039"/>
      <c r="R165" s="1039"/>
      <c r="S165" s="1039"/>
      <c r="T165" s="1039"/>
      <c r="U165" s="1039"/>
      <c r="V165" s="1039"/>
      <c r="W165" s="1039"/>
      <c r="X165" s="1039"/>
      <c r="Y165" s="1039"/>
      <c r="Z165" s="1039"/>
      <c r="AA165" s="1039"/>
      <c r="AB165" s="1039"/>
      <c r="AC165" s="1039"/>
      <c r="AD165" s="1039"/>
      <c r="AE165" s="1039"/>
      <c r="AF165" s="1039"/>
      <c r="CT165" s="753"/>
      <c r="CU165" s="753"/>
      <c r="CV165" s="753"/>
      <c r="CW165" s="753"/>
      <c r="CX165" s="753"/>
      <c r="CY165" s="753"/>
      <c r="CZ165" s="753"/>
      <c r="DA165" s="753"/>
      <c r="DB165" s="753"/>
      <c r="DC165" s="753"/>
      <c r="DD165" s="753"/>
      <c r="DE165" s="753"/>
      <c r="DF165" s="753"/>
      <c r="DG165" s="753"/>
      <c r="DH165" s="753"/>
      <c r="DI165" s="753"/>
      <c r="DJ165" s="753"/>
      <c r="DK165" s="753"/>
      <c r="DL165" s="753"/>
      <c r="DM165" s="753"/>
      <c r="DN165" s="753"/>
      <c r="DO165" s="753"/>
      <c r="DP165" s="753"/>
      <c r="DQ165" s="753"/>
      <c r="DR165" s="753"/>
      <c r="DS165" s="776"/>
    </row>
    <row r="166" spans="1:123" s="758" customFormat="1" ht="15.75">
      <c r="A166" s="794"/>
      <c r="B166" s="780"/>
      <c r="C166" s="780"/>
      <c r="D166" s="780"/>
      <c r="E166" s="780"/>
      <c r="F166" s="780"/>
      <c r="G166" s="780"/>
      <c r="H166" s="784"/>
      <c r="I166" s="785"/>
      <c r="J166" s="1063"/>
      <c r="K166" s="1063"/>
      <c r="L166" s="811"/>
      <c r="M166" s="1081"/>
      <c r="N166" s="1151"/>
      <c r="O166" s="1130"/>
      <c r="P166" s="1130"/>
      <c r="Q166" s="1039"/>
      <c r="R166" s="1039"/>
      <c r="S166" s="1039"/>
      <c r="T166" s="1039"/>
      <c r="U166" s="1039"/>
      <c r="V166" s="1039"/>
      <c r="W166" s="1039"/>
      <c r="X166" s="1039"/>
      <c r="Y166" s="1039"/>
      <c r="Z166" s="1039"/>
      <c r="AA166" s="1039"/>
      <c r="AB166" s="1039"/>
      <c r="AC166" s="1039"/>
      <c r="AD166" s="1039"/>
      <c r="AE166" s="1039"/>
      <c r="AF166" s="1039"/>
      <c r="CT166" s="753"/>
      <c r="CU166" s="753"/>
      <c r="CV166" s="753"/>
      <c r="CW166" s="753"/>
      <c r="CX166" s="753"/>
      <c r="CY166" s="753"/>
      <c r="CZ166" s="753"/>
      <c r="DA166" s="753"/>
      <c r="DB166" s="753"/>
      <c r="DC166" s="753"/>
      <c r="DD166" s="753"/>
      <c r="DE166" s="753"/>
      <c r="DF166" s="753"/>
      <c r="DG166" s="753"/>
      <c r="DH166" s="753"/>
      <c r="DI166" s="753"/>
      <c r="DJ166" s="753"/>
      <c r="DK166" s="753"/>
      <c r="DL166" s="753"/>
      <c r="DM166" s="753"/>
      <c r="DN166" s="753"/>
      <c r="DO166" s="753"/>
      <c r="DP166" s="753"/>
      <c r="DQ166" s="753"/>
      <c r="DR166" s="753"/>
      <c r="DS166" s="776"/>
    </row>
    <row r="167" spans="1:123" s="758" customFormat="1" ht="15.75">
      <c r="A167" s="794"/>
      <c r="B167" s="780"/>
      <c r="C167" s="780"/>
      <c r="D167" s="780"/>
      <c r="E167" s="780"/>
      <c r="F167" s="780"/>
      <c r="G167" s="773"/>
      <c r="H167" s="780"/>
      <c r="I167" s="764"/>
      <c r="J167" s="1063"/>
      <c r="K167" s="1063"/>
      <c r="L167" s="1063"/>
      <c r="M167" s="1081"/>
      <c r="N167" s="1151"/>
      <c r="O167" s="1130"/>
      <c r="P167" s="1130"/>
      <c r="Q167" s="1039"/>
      <c r="R167" s="1039"/>
      <c r="S167" s="1039"/>
      <c r="T167" s="1039"/>
      <c r="U167" s="1039"/>
      <c r="V167" s="1039"/>
      <c r="W167" s="1039"/>
      <c r="X167" s="1039"/>
      <c r="Y167" s="1039"/>
      <c r="Z167" s="1039"/>
      <c r="AA167" s="1039"/>
      <c r="AB167" s="1039"/>
      <c r="AC167" s="1039"/>
      <c r="AD167" s="1039"/>
      <c r="AE167" s="1039"/>
      <c r="AF167" s="1039"/>
      <c r="CT167" s="753"/>
      <c r="CU167" s="753"/>
      <c r="CV167" s="753"/>
      <c r="CW167" s="753"/>
      <c r="CX167" s="753"/>
      <c r="CY167" s="753"/>
      <c r="CZ167" s="753"/>
      <c r="DA167" s="753"/>
      <c r="DB167" s="753"/>
      <c r="DC167" s="753"/>
      <c r="DD167" s="753"/>
      <c r="DE167" s="753"/>
      <c r="DF167" s="753"/>
      <c r="DG167" s="753"/>
      <c r="DH167" s="753"/>
      <c r="DI167" s="753"/>
      <c r="DJ167" s="753"/>
      <c r="DK167" s="753"/>
      <c r="DL167" s="753"/>
      <c r="DM167" s="753"/>
      <c r="DN167" s="753"/>
      <c r="DO167" s="753"/>
      <c r="DP167" s="753"/>
      <c r="DQ167" s="753"/>
      <c r="DR167" s="753"/>
      <c r="DS167" s="776"/>
    </row>
    <row r="168" spans="1:123" s="758" customFormat="1">
      <c r="A168" s="780"/>
      <c r="B168" s="780"/>
      <c r="C168" s="780"/>
      <c r="D168" s="780"/>
      <c r="E168" s="780"/>
      <c r="F168" s="780"/>
      <c r="G168" s="773"/>
      <c r="H168" s="801"/>
      <c r="I168" s="773"/>
      <c r="J168" s="1063"/>
      <c r="K168" s="1063"/>
      <c r="L168" s="1153"/>
      <c r="M168" s="1081"/>
      <c r="N168" s="1151"/>
      <c r="O168" s="1130"/>
      <c r="P168" s="1130"/>
      <c r="Q168" s="1039"/>
      <c r="R168" s="1039"/>
      <c r="S168" s="1039"/>
      <c r="T168" s="1039"/>
      <c r="U168" s="1039"/>
      <c r="V168" s="1039"/>
      <c r="W168" s="1039"/>
      <c r="X168" s="1039"/>
      <c r="Y168" s="1039"/>
      <c r="Z168" s="1039"/>
      <c r="AA168" s="1039"/>
      <c r="AB168" s="1039"/>
      <c r="AC168" s="1039"/>
      <c r="AD168" s="1039"/>
      <c r="AE168" s="1039"/>
      <c r="AF168" s="1039"/>
      <c r="CT168" s="753"/>
      <c r="CU168" s="753"/>
      <c r="CV168" s="753"/>
      <c r="CW168" s="753"/>
      <c r="CX168" s="753"/>
      <c r="CY168" s="753"/>
      <c r="CZ168" s="753"/>
      <c r="DA168" s="753"/>
      <c r="DB168" s="753"/>
      <c r="DC168" s="753"/>
      <c r="DD168" s="753"/>
      <c r="DE168" s="753"/>
      <c r="DF168" s="753"/>
      <c r="DG168" s="753"/>
      <c r="DH168" s="753"/>
      <c r="DI168" s="753"/>
      <c r="DJ168" s="753"/>
      <c r="DK168" s="753"/>
      <c r="DL168" s="753"/>
      <c r="DM168" s="753"/>
      <c r="DN168" s="753"/>
      <c r="DO168" s="753"/>
      <c r="DP168" s="753"/>
      <c r="DQ168" s="753"/>
      <c r="DR168" s="753"/>
      <c r="DS168" s="776"/>
    </row>
    <row r="169" spans="1:123" s="758" customFormat="1">
      <c r="A169" s="796"/>
      <c r="B169" s="774"/>
      <c r="C169" s="773"/>
      <c r="D169" s="804"/>
      <c r="E169" s="773"/>
      <c r="F169" s="773"/>
      <c r="G169" s="773"/>
      <c r="H169" s="797"/>
      <c r="I169" s="787"/>
      <c r="J169" s="1063"/>
      <c r="K169" s="1063"/>
      <c r="L169" s="1081"/>
      <c r="M169" s="782"/>
      <c r="N169" s="1151"/>
      <c r="O169" s="1039"/>
      <c r="P169" s="783"/>
      <c r="Q169" s="1039"/>
      <c r="R169" s="1039"/>
      <c r="S169" s="1039"/>
      <c r="T169" s="1039"/>
      <c r="U169" s="1039"/>
      <c r="V169" s="1039"/>
      <c r="W169" s="1039"/>
      <c r="X169" s="1039"/>
      <c r="Y169" s="1039"/>
      <c r="Z169" s="1039"/>
      <c r="AA169" s="1039"/>
      <c r="AB169" s="1039"/>
      <c r="AC169" s="1039"/>
      <c r="AD169" s="1039"/>
      <c r="AE169" s="1039"/>
      <c r="AF169" s="1039"/>
      <c r="CT169" s="753"/>
      <c r="CU169" s="753"/>
      <c r="CV169" s="753"/>
      <c r="CW169" s="753"/>
      <c r="CX169" s="753"/>
      <c r="CY169" s="753"/>
      <c r="CZ169" s="753"/>
      <c r="DA169" s="753"/>
      <c r="DB169" s="753"/>
      <c r="DC169" s="753"/>
      <c r="DD169" s="753"/>
      <c r="DE169" s="753"/>
      <c r="DF169" s="753"/>
      <c r="DG169" s="753"/>
      <c r="DH169" s="753"/>
      <c r="DI169" s="753"/>
      <c r="DJ169" s="753"/>
      <c r="DK169" s="753"/>
      <c r="DL169" s="753"/>
      <c r="DM169" s="753"/>
      <c r="DN169" s="753"/>
      <c r="DO169" s="753"/>
      <c r="DP169" s="753"/>
      <c r="DQ169" s="753"/>
      <c r="DR169" s="753"/>
      <c r="DS169" s="776"/>
    </row>
    <row r="170" spans="1:123" s="758" customFormat="1">
      <c r="A170" s="798"/>
      <c r="B170" s="800"/>
      <c r="C170" s="773"/>
      <c r="D170" s="804"/>
      <c r="E170" s="773"/>
      <c r="F170" s="773"/>
      <c r="G170" s="773"/>
      <c r="H170" s="797"/>
      <c r="I170" s="787"/>
      <c r="J170" s="1063"/>
      <c r="K170" s="1063"/>
      <c r="L170" s="1149"/>
      <c r="M170" s="782"/>
      <c r="N170" s="1137"/>
      <c r="O170" s="1039"/>
      <c r="P170" s="783"/>
      <c r="Q170" s="1039"/>
      <c r="R170" s="1039"/>
      <c r="S170" s="1039"/>
      <c r="T170" s="1039"/>
      <c r="U170" s="1039"/>
      <c r="V170" s="1039"/>
      <c r="W170" s="1039"/>
      <c r="X170" s="1039"/>
      <c r="Y170" s="1039"/>
      <c r="Z170" s="1039"/>
      <c r="AA170" s="1039"/>
      <c r="AB170" s="1039"/>
      <c r="AC170" s="1039"/>
      <c r="AD170" s="1039"/>
      <c r="AE170" s="1039"/>
      <c r="AF170" s="1039"/>
      <c r="CT170" s="753"/>
      <c r="CU170" s="753"/>
      <c r="CV170" s="753"/>
      <c r="CW170" s="753"/>
      <c r="CX170" s="753"/>
      <c r="CY170" s="753"/>
      <c r="CZ170" s="753"/>
      <c r="DA170" s="753"/>
      <c r="DB170" s="753"/>
      <c r="DC170" s="753"/>
      <c r="DD170" s="753"/>
      <c r="DE170" s="753"/>
      <c r="DF170" s="753"/>
      <c r="DG170" s="753"/>
      <c r="DH170" s="753"/>
      <c r="DI170" s="753"/>
      <c r="DJ170" s="753"/>
      <c r="DK170" s="753"/>
      <c r="DL170" s="753"/>
      <c r="DM170" s="753"/>
      <c r="DN170" s="753"/>
      <c r="DO170" s="753"/>
      <c r="DP170" s="753"/>
      <c r="DQ170" s="753"/>
      <c r="DR170" s="753"/>
      <c r="DS170" s="776"/>
    </row>
    <row r="171" spans="1:123" s="758" customFormat="1">
      <c r="A171" s="798"/>
      <c r="B171" s="800"/>
      <c r="C171" s="773"/>
      <c r="D171" s="804"/>
      <c r="E171" s="773"/>
      <c r="F171" s="773"/>
      <c r="G171" s="773"/>
      <c r="H171" s="780"/>
      <c r="I171" s="764"/>
      <c r="J171" s="1063"/>
      <c r="K171" s="1063"/>
      <c r="L171" s="1081"/>
      <c r="M171" s="782"/>
      <c r="N171" s="1151"/>
      <c r="O171" s="1039"/>
      <c r="P171" s="1127"/>
      <c r="Q171" s="1039"/>
      <c r="R171" s="1039"/>
      <c r="S171" s="1039"/>
      <c r="T171" s="1039"/>
      <c r="U171" s="1039"/>
      <c r="V171" s="1039"/>
      <c r="W171" s="1039"/>
      <c r="X171" s="1039"/>
      <c r="Y171" s="1039"/>
      <c r="Z171" s="1039"/>
      <c r="AA171" s="1039"/>
      <c r="AB171" s="1039"/>
      <c r="AC171" s="1039"/>
      <c r="AD171" s="1039"/>
      <c r="AE171" s="1039"/>
      <c r="AF171" s="1039"/>
      <c r="CT171" s="753"/>
      <c r="CU171" s="753"/>
      <c r="CV171" s="753"/>
      <c r="CW171" s="753"/>
      <c r="CX171" s="753"/>
      <c r="CY171" s="753"/>
      <c r="CZ171" s="753"/>
      <c r="DA171" s="753"/>
      <c r="DB171" s="753"/>
      <c r="DC171" s="753"/>
      <c r="DD171" s="753"/>
      <c r="DE171" s="753"/>
      <c r="DF171" s="753"/>
      <c r="DG171" s="753"/>
      <c r="DH171" s="753"/>
      <c r="DI171" s="753"/>
      <c r="DJ171" s="753"/>
      <c r="DK171" s="753"/>
      <c r="DL171" s="753"/>
      <c r="DM171" s="753"/>
      <c r="DN171" s="753"/>
      <c r="DO171" s="753"/>
      <c r="DP171" s="753"/>
      <c r="DQ171" s="753"/>
      <c r="DR171" s="753"/>
      <c r="DS171" s="776"/>
    </row>
    <row r="172" spans="1:123" s="758" customFormat="1" ht="16.5">
      <c r="A172" s="794"/>
      <c r="B172" s="799"/>
      <c r="C172" s="795"/>
      <c r="D172" s="780"/>
      <c r="E172" s="773"/>
      <c r="F172" s="773"/>
      <c r="G172" s="773"/>
      <c r="H172" s="773"/>
      <c r="I172" s="764"/>
      <c r="J172" s="1063"/>
      <c r="K172" s="1063"/>
      <c r="L172" s="1148"/>
      <c r="M172" s="1081"/>
      <c r="N172" s="1137"/>
      <c r="O172" s="1130"/>
      <c r="P172" s="1130"/>
      <c r="Q172" s="1039"/>
      <c r="R172" s="1039"/>
      <c r="S172" s="1039"/>
      <c r="T172" s="1039"/>
      <c r="U172" s="1039"/>
      <c r="V172" s="1039"/>
      <c r="W172" s="1039"/>
      <c r="X172" s="1039"/>
      <c r="Y172" s="1039"/>
      <c r="Z172" s="1039"/>
      <c r="AA172" s="1039"/>
      <c r="AB172" s="1039"/>
      <c r="AC172" s="1039"/>
      <c r="AD172" s="1039"/>
      <c r="AE172" s="1039"/>
      <c r="AF172" s="1039"/>
      <c r="CT172" s="753"/>
      <c r="CU172" s="753"/>
      <c r="CV172" s="753"/>
      <c r="CW172" s="753"/>
      <c r="CX172" s="753"/>
      <c r="CY172" s="753"/>
      <c r="CZ172" s="753"/>
      <c r="DA172" s="753"/>
      <c r="DB172" s="753"/>
      <c r="DC172" s="753"/>
      <c r="DD172" s="753"/>
      <c r="DE172" s="753"/>
      <c r="DF172" s="753"/>
      <c r="DG172" s="753"/>
      <c r="DH172" s="753"/>
      <c r="DI172" s="753"/>
      <c r="DJ172" s="753"/>
      <c r="DK172" s="753"/>
      <c r="DL172" s="753"/>
      <c r="DM172" s="753"/>
      <c r="DN172" s="753"/>
      <c r="DO172" s="753"/>
      <c r="DP172" s="753"/>
      <c r="DQ172" s="753"/>
      <c r="DR172" s="753"/>
      <c r="DS172" s="776"/>
    </row>
    <row r="173" spans="1:123" s="758" customFormat="1">
      <c r="A173" s="798"/>
      <c r="B173" s="799"/>
      <c r="C173" s="780"/>
      <c r="D173" s="780"/>
      <c r="E173" s="780"/>
      <c r="F173" s="780"/>
      <c r="G173" s="780"/>
      <c r="H173" s="773"/>
      <c r="I173" s="764"/>
      <c r="J173" s="1063"/>
      <c r="K173" s="1063"/>
      <c r="L173" s="1081"/>
      <c r="M173" s="1081"/>
      <c r="N173" s="1137"/>
      <c r="O173" s="1130"/>
      <c r="P173" s="1130"/>
      <c r="Q173" s="1039"/>
      <c r="R173" s="1039"/>
      <c r="S173" s="1039"/>
      <c r="T173" s="1039"/>
      <c r="U173" s="1039"/>
      <c r="V173" s="1039"/>
      <c r="W173" s="1039"/>
      <c r="X173" s="1039"/>
      <c r="Y173" s="1039"/>
      <c r="Z173" s="1039"/>
      <c r="AA173" s="1039"/>
      <c r="AB173" s="1039"/>
      <c r="AC173" s="1039"/>
      <c r="AD173" s="1039"/>
      <c r="AE173" s="1039"/>
      <c r="AF173" s="1039"/>
      <c r="CT173" s="753"/>
      <c r="CU173" s="753"/>
      <c r="CV173" s="753"/>
      <c r="CW173" s="753"/>
      <c r="CX173" s="753"/>
      <c r="CY173" s="753"/>
      <c r="CZ173" s="753"/>
      <c r="DA173" s="753"/>
      <c r="DB173" s="753"/>
      <c r="DC173" s="753"/>
      <c r="DD173" s="753"/>
      <c r="DE173" s="753"/>
      <c r="DF173" s="753"/>
      <c r="DG173" s="753"/>
      <c r="DH173" s="753"/>
      <c r="DI173" s="753"/>
      <c r="DJ173" s="753"/>
      <c r="DK173" s="753"/>
      <c r="DL173" s="753"/>
      <c r="DM173" s="753"/>
      <c r="DN173" s="753"/>
      <c r="DO173" s="753"/>
      <c r="DP173" s="753"/>
      <c r="DQ173" s="753"/>
      <c r="DR173" s="753"/>
      <c r="DS173" s="776"/>
    </row>
    <row r="174" spans="1:123" s="758" customFormat="1">
      <c r="A174" s="798"/>
      <c r="B174" s="799"/>
      <c r="C174" s="780"/>
      <c r="D174" s="780"/>
      <c r="E174" s="780"/>
      <c r="F174" s="780"/>
      <c r="G174" s="780"/>
      <c r="H174" s="773"/>
      <c r="I174" s="764"/>
      <c r="J174" s="1063"/>
      <c r="K174" s="1063"/>
      <c r="L174" s="1149"/>
      <c r="M174" s="782"/>
      <c r="N174" s="1151"/>
      <c r="O174" s="1039"/>
      <c r="P174" s="783"/>
      <c r="Q174" s="1039"/>
      <c r="R174" s="1039"/>
      <c r="S174" s="1039"/>
      <c r="T174" s="1039"/>
      <c r="U174" s="1039"/>
      <c r="V174" s="1039"/>
      <c r="W174" s="1039"/>
      <c r="X174" s="1039"/>
      <c r="Y174" s="1039"/>
      <c r="Z174" s="1039"/>
      <c r="AA174" s="1039"/>
      <c r="AB174" s="1039"/>
      <c r="AC174" s="1039"/>
      <c r="AD174" s="1039"/>
      <c r="AE174" s="1039"/>
      <c r="AF174" s="1039"/>
      <c r="CT174" s="753"/>
      <c r="CU174" s="753"/>
      <c r="CV174" s="753"/>
      <c r="CW174" s="753"/>
      <c r="CX174" s="753"/>
      <c r="CY174" s="753"/>
      <c r="CZ174" s="753"/>
      <c r="DA174" s="753"/>
      <c r="DB174" s="753"/>
      <c r="DC174" s="753"/>
      <c r="DD174" s="753"/>
      <c r="DE174" s="753"/>
      <c r="DF174" s="753"/>
      <c r="DG174" s="753"/>
      <c r="DH174" s="753"/>
      <c r="DI174" s="753"/>
      <c r="DJ174" s="753"/>
      <c r="DK174" s="753"/>
      <c r="DL174" s="753"/>
      <c r="DM174" s="753"/>
      <c r="DN174" s="753"/>
      <c r="DO174" s="753"/>
      <c r="DP174" s="753"/>
      <c r="DQ174" s="753"/>
      <c r="DR174" s="753"/>
      <c r="DS174" s="776"/>
    </row>
    <row r="175" spans="1:123" s="758" customFormat="1" ht="15.75">
      <c r="A175" s="794"/>
      <c r="B175" s="800"/>
      <c r="C175" s="780"/>
      <c r="D175" s="780"/>
      <c r="E175" s="780"/>
      <c r="F175" s="780"/>
      <c r="G175" s="780"/>
      <c r="H175" s="773"/>
      <c r="I175" s="764"/>
      <c r="J175" s="1063"/>
      <c r="K175" s="1063"/>
      <c r="L175" s="813"/>
      <c r="M175" s="1081"/>
      <c r="N175" s="1083"/>
      <c r="O175" s="1130"/>
      <c r="P175" s="1063"/>
      <c r="Q175" s="1039"/>
      <c r="R175" s="1039"/>
      <c r="S175" s="1039"/>
      <c r="T175" s="1039"/>
      <c r="U175" s="1039"/>
      <c r="V175" s="1039"/>
      <c r="W175" s="1039"/>
      <c r="X175" s="1039"/>
      <c r="Y175" s="1039"/>
      <c r="Z175" s="1039"/>
      <c r="AA175" s="1039"/>
      <c r="AB175" s="1039"/>
      <c r="AC175" s="1039"/>
      <c r="AD175" s="1039"/>
      <c r="AE175" s="1039"/>
      <c r="AF175" s="1039"/>
      <c r="CT175" s="753"/>
      <c r="CU175" s="753"/>
      <c r="CV175" s="753"/>
      <c r="CW175" s="753"/>
      <c r="CX175" s="753"/>
      <c r="CY175" s="753"/>
      <c r="CZ175" s="753"/>
      <c r="DA175" s="753"/>
      <c r="DB175" s="753"/>
      <c r="DC175" s="753"/>
      <c r="DD175" s="753"/>
      <c r="DE175" s="753"/>
      <c r="DF175" s="753"/>
      <c r="DG175" s="753"/>
      <c r="DH175" s="753"/>
      <c r="DI175" s="753"/>
      <c r="DJ175" s="753"/>
      <c r="DK175" s="753"/>
      <c r="DL175" s="753"/>
      <c r="DM175" s="753"/>
      <c r="DN175" s="753"/>
      <c r="DO175" s="753"/>
      <c r="DP175" s="753"/>
      <c r="DQ175" s="753"/>
      <c r="DR175" s="753"/>
      <c r="DS175" s="776"/>
    </row>
    <row r="176" spans="1:123" s="758" customFormat="1" ht="15.75">
      <c r="A176" s="794"/>
      <c r="B176" s="800"/>
      <c r="C176" s="780"/>
      <c r="D176" s="780"/>
      <c r="E176" s="780"/>
      <c r="F176" s="780"/>
      <c r="G176" s="773"/>
      <c r="H176" s="780"/>
      <c r="I176" s="788"/>
      <c r="J176" s="1063"/>
      <c r="K176" s="1063"/>
      <c r="L176" s="1063"/>
      <c r="M176" s="1063"/>
      <c r="N176" s="1039"/>
      <c r="O176" s="1039"/>
      <c r="P176" s="1063"/>
      <c r="Q176" s="1039"/>
      <c r="R176" s="1039"/>
      <c r="S176" s="1039"/>
      <c r="T176" s="1039"/>
      <c r="U176" s="1039"/>
      <c r="V176" s="1039"/>
      <c r="W176" s="1039"/>
      <c r="X176" s="1039"/>
      <c r="Y176" s="1039"/>
      <c r="Z176" s="1039"/>
      <c r="AA176" s="1039"/>
      <c r="AB176" s="1039"/>
      <c r="AC176" s="1039"/>
      <c r="AD176" s="1039"/>
      <c r="AE176" s="1039"/>
      <c r="AF176" s="1039"/>
      <c r="CT176" s="753"/>
      <c r="CU176" s="753"/>
      <c r="CV176" s="753"/>
      <c r="CW176" s="753"/>
      <c r="CX176" s="753"/>
      <c r="CY176" s="753"/>
      <c r="CZ176" s="753"/>
      <c r="DA176" s="753"/>
      <c r="DB176" s="753"/>
      <c r="DC176" s="753"/>
      <c r="DD176" s="753"/>
      <c r="DE176" s="753"/>
      <c r="DF176" s="753"/>
      <c r="DG176" s="753"/>
      <c r="DH176" s="753"/>
      <c r="DI176" s="753"/>
      <c r="DJ176" s="753"/>
      <c r="DK176" s="753"/>
      <c r="DL176" s="753"/>
      <c r="DM176" s="753"/>
      <c r="DN176" s="753"/>
      <c r="DO176" s="753"/>
      <c r="DP176" s="753"/>
      <c r="DQ176" s="753"/>
      <c r="DR176" s="753"/>
      <c r="DS176" s="776"/>
    </row>
    <row r="177" spans="1:124" s="758" customFormat="1">
      <c r="A177" s="780"/>
      <c r="B177" s="780"/>
      <c r="C177" s="780"/>
      <c r="D177" s="780"/>
      <c r="E177" s="780"/>
      <c r="F177" s="780"/>
      <c r="G177" s="773"/>
      <c r="H177" s="797"/>
      <c r="I177" s="787"/>
      <c r="J177" s="1063"/>
      <c r="K177" s="1063"/>
      <c r="L177" s="1063"/>
      <c r="M177" s="1127"/>
      <c r="N177" s="1039"/>
      <c r="O177" s="1039"/>
      <c r="P177" s="814"/>
      <c r="Q177" s="1039"/>
      <c r="R177" s="1039"/>
      <c r="S177" s="1039"/>
      <c r="T177" s="1039"/>
      <c r="U177" s="1039"/>
      <c r="V177" s="1039"/>
      <c r="W177" s="1039"/>
      <c r="X177" s="1039"/>
      <c r="Y177" s="1039"/>
      <c r="Z177" s="1039"/>
      <c r="AA177" s="1039"/>
      <c r="AB177" s="1039"/>
      <c r="AC177" s="1039"/>
      <c r="AD177" s="1039"/>
      <c r="AE177" s="1039"/>
      <c r="AF177" s="1039"/>
      <c r="CT177" s="753"/>
      <c r="CU177" s="753"/>
      <c r="CV177" s="753"/>
      <c r="CW177" s="753"/>
      <c r="CX177" s="753"/>
      <c r="CY177" s="753"/>
      <c r="CZ177" s="753"/>
      <c r="DA177" s="753"/>
      <c r="DB177" s="753"/>
      <c r="DC177" s="753"/>
      <c r="DD177" s="753"/>
      <c r="DE177" s="753"/>
      <c r="DF177" s="753"/>
      <c r="DG177" s="753"/>
      <c r="DH177" s="753"/>
      <c r="DI177" s="753"/>
      <c r="DJ177" s="753"/>
      <c r="DK177" s="753"/>
      <c r="DL177" s="753"/>
      <c r="DM177" s="753"/>
      <c r="DN177" s="753"/>
      <c r="DO177" s="753"/>
      <c r="DP177" s="753"/>
      <c r="DQ177" s="753"/>
      <c r="DR177" s="753"/>
      <c r="DS177" s="776"/>
    </row>
    <row r="178" spans="1:124" s="758" customFormat="1">
      <c r="A178" s="780"/>
      <c r="B178" s="780"/>
      <c r="C178" s="780"/>
      <c r="D178" s="780"/>
      <c r="E178" s="780"/>
      <c r="F178" s="780"/>
      <c r="G178" s="780"/>
      <c r="H178" s="797"/>
      <c r="I178" s="787"/>
      <c r="J178" s="1063"/>
      <c r="K178" s="1063"/>
      <c r="L178" s="1063"/>
      <c r="M178" s="1081"/>
      <c r="N178" s="1083"/>
      <c r="O178" s="1130"/>
      <c r="P178" s="1130"/>
      <c r="Q178" s="1039"/>
      <c r="R178" s="1039"/>
      <c r="S178" s="1039"/>
      <c r="T178" s="1039"/>
      <c r="U178" s="1039"/>
      <c r="V178" s="1039"/>
      <c r="W178" s="1039"/>
      <c r="X178" s="1039"/>
      <c r="Y178" s="1039"/>
      <c r="Z178" s="1039"/>
      <c r="AA178" s="1039"/>
      <c r="AB178" s="1039"/>
      <c r="AC178" s="1039"/>
      <c r="AD178" s="1039"/>
      <c r="AE178" s="1039"/>
      <c r="AF178" s="1039"/>
      <c r="CT178" s="753"/>
      <c r="CU178" s="753"/>
      <c r="CV178" s="753"/>
      <c r="CW178" s="753"/>
      <c r="CX178" s="753"/>
      <c r="CY178" s="753"/>
      <c r="CZ178" s="753"/>
      <c r="DA178" s="753"/>
      <c r="DB178" s="753"/>
      <c r="DC178" s="753"/>
      <c r="DD178" s="753"/>
      <c r="DE178" s="753"/>
      <c r="DF178" s="753"/>
      <c r="DG178" s="753"/>
      <c r="DH178" s="753"/>
      <c r="DI178" s="753"/>
      <c r="DJ178" s="753"/>
      <c r="DK178" s="753"/>
      <c r="DL178" s="753"/>
      <c r="DM178" s="753"/>
      <c r="DN178" s="753"/>
      <c r="DO178" s="753"/>
      <c r="DP178" s="753"/>
      <c r="DQ178" s="753"/>
      <c r="DR178" s="753"/>
      <c r="DS178" s="776"/>
    </row>
    <row r="179" spans="1:124" s="758" customFormat="1">
      <c r="A179" s="796"/>
      <c r="B179" s="774"/>
      <c r="C179" s="773"/>
      <c r="D179" s="804"/>
      <c r="E179" s="773"/>
      <c r="F179" s="773"/>
      <c r="G179" s="773"/>
      <c r="H179" s="801"/>
      <c r="I179" s="764"/>
      <c r="J179" s="1063"/>
      <c r="K179" s="1063"/>
      <c r="L179" s="1063"/>
      <c r="M179" s="1081"/>
      <c r="N179" s="1083"/>
      <c r="O179" s="1130"/>
      <c r="P179" s="1130"/>
      <c r="Q179" s="1039"/>
      <c r="R179" s="1039"/>
      <c r="S179" s="1039"/>
      <c r="T179" s="1039"/>
      <c r="U179" s="1039"/>
      <c r="V179" s="1039"/>
      <c r="W179" s="1039"/>
      <c r="X179" s="1039"/>
      <c r="Y179" s="1039"/>
      <c r="Z179" s="1039"/>
      <c r="AA179" s="1039"/>
      <c r="AB179" s="1039"/>
      <c r="AC179" s="1039"/>
      <c r="AD179" s="1039"/>
      <c r="AE179" s="1039"/>
      <c r="AF179" s="1039"/>
      <c r="CT179" s="753"/>
      <c r="CU179" s="753"/>
      <c r="CV179" s="753"/>
      <c r="CW179" s="753"/>
      <c r="CX179" s="753"/>
      <c r="CY179" s="753"/>
      <c r="CZ179" s="753"/>
      <c r="DA179" s="753"/>
      <c r="DB179" s="753"/>
      <c r="DC179" s="753"/>
      <c r="DD179" s="753"/>
      <c r="DE179" s="753"/>
      <c r="DF179" s="753"/>
      <c r="DG179" s="753"/>
      <c r="DH179" s="753"/>
      <c r="DI179" s="753"/>
      <c r="DJ179" s="753"/>
      <c r="DK179" s="753"/>
      <c r="DL179" s="753"/>
      <c r="DM179" s="753"/>
      <c r="DN179" s="753"/>
      <c r="DO179" s="753"/>
      <c r="DP179" s="753"/>
      <c r="DQ179" s="753"/>
      <c r="DR179" s="753"/>
      <c r="DS179" s="776"/>
    </row>
    <row r="180" spans="1:124" s="758" customFormat="1">
      <c r="A180" s="798"/>
      <c r="B180" s="800"/>
      <c r="C180" s="773"/>
      <c r="D180" s="804"/>
      <c r="E180" s="773"/>
      <c r="F180" s="773"/>
      <c r="G180" s="773"/>
      <c r="H180" s="780"/>
      <c r="I180" s="788"/>
      <c r="J180" s="1063"/>
      <c r="K180" s="1063"/>
      <c r="L180" s="1063"/>
      <c r="M180" s="1081"/>
      <c r="N180" s="1083"/>
      <c r="O180" s="1130"/>
      <c r="P180" s="1130"/>
      <c r="Q180" s="1039"/>
      <c r="R180" s="1039"/>
      <c r="S180" s="1039"/>
      <c r="T180" s="1039"/>
      <c r="U180" s="1039"/>
      <c r="V180" s="1039"/>
      <c r="W180" s="1039"/>
      <c r="X180" s="1039"/>
      <c r="Y180" s="1039"/>
      <c r="Z180" s="1039"/>
      <c r="AA180" s="1039"/>
      <c r="AB180" s="1039"/>
      <c r="AC180" s="1039"/>
      <c r="AD180" s="1039"/>
      <c r="AE180" s="1039"/>
      <c r="AF180" s="1039"/>
      <c r="CT180" s="753"/>
      <c r="CU180" s="753"/>
      <c r="CV180" s="753"/>
      <c r="CW180" s="753"/>
      <c r="CX180" s="753"/>
      <c r="CY180" s="753"/>
      <c r="CZ180" s="753"/>
      <c r="DA180" s="753"/>
      <c r="DB180" s="753"/>
      <c r="DC180" s="753"/>
      <c r="DD180" s="753"/>
      <c r="DE180" s="753"/>
      <c r="DF180" s="753"/>
      <c r="DG180" s="753"/>
      <c r="DH180" s="753"/>
      <c r="DI180" s="753"/>
      <c r="DJ180" s="753"/>
      <c r="DK180" s="753"/>
      <c r="DL180" s="753"/>
      <c r="DM180" s="753"/>
      <c r="DN180" s="753"/>
      <c r="DO180" s="753"/>
      <c r="DP180" s="753"/>
      <c r="DQ180" s="753"/>
      <c r="DR180" s="753"/>
      <c r="DS180" s="776"/>
    </row>
    <row r="181" spans="1:124" s="758" customFormat="1">
      <c r="A181" s="798"/>
      <c r="B181" s="800"/>
      <c r="C181" s="773"/>
      <c r="D181" s="804"/>
      <c r="E181" s="773"/>
      <c r="F181" s="773"/>
      <c r="G181" s="773"/>
      <c r="H181" s="784"/>
      <c r="I181" s="785"/>
      <c r="J181" s="1063"/>
      <c r="K181" s="1063"/>
      <c r="L181" s="1063"/>
      <c r="M181" s="1081"/>
      <c r="N181" s="1083"/>
      <c r="O181" s="1130"/>
      <c r="P181" s="1130"/>
      <c r="Q181" s="1039"/>
      <c r="R181" s="1039"/>
      <c r="S181" s="1039"/>
      <c r="T181" s="1039"/>
      <c r="U181" s="1039"/>
      <c r="V181" s="1039"/>
      <c r="W181" s="1039"/>
      <c r="X181" s="1039"/>
      <c r="Y181" s="1039"/>
      <c r="Z181" s="1039"/>
      <c r="AA181" s="1039"/>
      <c r="AB181" s="1039"/>
      <c r="AC181" s="1039"/>
      <c r="AD181" s="1039"/>
      <c r="AE181" s="1039"/>
      <c r="AF181" s="1039"/>
      <c r="CT181" s="753"/>
      <c r="CU181" s="753"/>
      <c r="CV181" s="753"/>
      <c r="CW181" s="753"/>
      <c r="CX181" s="753"/>
      <c r="CY181" s="753"/>
      <c r="CZ181" s="753"/>
      <c r="DA181" s="753"/>
      <c r="DB181" s="753"/>
      <c r="DC181" s="753"/>
      <c r="DD181" s="753"/>
      <c r="DE181" s="753"/>
      <c r="DF181" s="753"/>
      <c r="DG181" s="753"/>
      <c r="DH181" s="753"/>
      <c r="DI181" s="753"/>
      <c r="DJ181" s="753"/>
      <c r="DK181" s="753"/>
      <c r="DL181" s="753"/>
      <c r="DM181" s="753"/>
      <c r="DN181" s="753"/>
      <c r="DO181" s="753"/>
      <c r="DP181" s="753"/>
      <c r="DQ181" s="753"/>
      <c r="DR181" s="753"/>
      <c r="DS181" s="776"/>
    </row>
    <row r="182" spans="1:124" s="758" customFormat="1" ht="16.5">
      <c r="A182" s="794"/>
      <c r="B182" s="799"/>
      <c r="C182" s="795"/>
      <c r="D182" s="780"/>
      <c r="E182" s="773"/>
      <c r="F182" s="773"/>
      <c r="G182" s="780"/>
      <c r="H182" s="780"/>
      <c r="I182" s="764"/>
      <c r="J182" s="1063"/>
      <c r="K182" s="1063"/>
      <c r="L182" s="1063"/>
      <c r="M182" s="1127"/>
      <c r="N182" s="1039"/>
      <c r="O182" s="1039"/>
      <c r="P182" s="1130"/>
      <c r="Q182" s="1039"/>
      <c r="R182" s="1039"/>
      <c r="S182" s="1039"/>
      <c r="T182" s="1039"/>
      <c r="U182" s="1039"/>
      <c r="V182" s="1039"/>
      <c r="W182" s="1039"/>
      <c r="X182" s="1039"/>
      <c r="Y182" s="1039"/>
      <c r="Z182" s="1039"/>
      <c r="AA182" s="1039"/>
      <c r="AB182" s="1039"/>
      <c r="AC182" s="1039"/>
      <c r="AD182" s="1039"/>
      <c r="AE182" s="1039"/>
      <c r="AF182" s="1039"/>
      <c r="CT182" s="753"/>
      <c r="CU182" s="753"/>
      <c r="CV182" s="753"/>
      <c r="CW182" s="753"/>
      <c r="CX182" s="753"/>
      <c r="CY182" s="753"/>
      <c r="CZ182" s="753"/>
      <c r="DA182" s="753"/>
      <c r="DB182" s="753"/>
      <c r="DC182" s="753"/>
      <c r="DD182" s="753"/>
      <c r="DE182" s="753"/>
      <c r="DF182" s="753"/>
      <c r="DG182" s="753"/>
      <c r="DH182" s="753"/>
      <c r="DI182" s="753"/>
      <c r="DJ182" s="753"/>
      <c r="DK182" s="753"/>
      <c r="DL182" s="753"/>
      <c r="DM182" s="753"/>
      <c r="DN182" s="753"/>
      <c r="DO182" s="753"/>
      <c r="DP182" s="753"/>
      <c r="DQ182" s="753"/>
      <c r="DR182" s="753"/>
      <c r="DS182" s="776"/>
    </row>
    <row r="183" spans="1:124" s="758" customFormat="1">
      <c r="A183" s="798"/>
      <c r="B183" s="799"/>
      <c r="C183" s="780"/>
      <c r="D183" s="780"/>
      <c r="E183" s="780"/>
      <c r="F183" s="780"/>
      <c r="G183" s="780"/>
      <c r="H183" s="780"/>
      <c r="I183" s="788"/>
      <c r="J183" s="1063"/>
      <c r="K183" s="1063"/>
      <c r="L183" s="1063"/>
      <c r="M183" s="1081"/>
      <c r="N183" s="1137"/>
      <c r="O183" s="1130"/>
      <c r="P183" s="1130"/>
      <c r="Q183" s="1039"/>
      <c r="R183" s="1039"/>
      <c r="S183" s="1039"/>
      <c r="T183" s="1039"/>
      <c r="U183" s="1039"/>
      <c r="V183" s="1039"/>
      <c r="W183" s="1039"/>
      <c r="X183" s="1039"/>
      <c r="Y183" s="1039"/>
      <c r="Z183" s="1039"/>
      <c r="AA183" s="1039"/>
      <c r="AB183" s="1039"/>
      <c r="AC183" s="1039"/>
      <c r="AD183" s="1039"/>
      <c r="AE183" s="1039"/>
      <c r="AF183" s="1039"/>
      <c r="CT183" s="753"/>
      <c r="CU183" s="753"/>
      <c r="CV183" s="753"/>
      <c r="CW183" s="753"/>
      <c r="CX183" s="753"/>
      <c r="CY183" s="753"/>
      <c r="CZ183" s="753"/>
      <c r="DA183" s="753"/>
      <c r="DB183" s="753"/>
      <c r="DC183" s="753"/>
      <c r="DD183" s="753"/>
      <c r="DE183" s="753"/>
      <c r="DF183" s="753"/>
      <c r="DG183" s="753"/>
      <c r="DH183" s="753"/>
      <c r="DI183" s="753"/>
      <c r="DJ183" s="753"/>
      <c r="DK183" s="753"/>
      <c r="DL183" s="753"/>
      <c r="DM183" s="753"/>
      <c r="DN183" s="753"/>
      <c r="DO183" s="753"/>
      <c r="DP183" s="753"/>
      <c r="DQ183" s="753"/>
      <c r="DR183" s="753"/>
      <c r="DS183" s="776"/>
    </row>
    <row r="184" spans="1:124" s="758" customFormat="1">
      <c r="A184" s="798"/>
      <c r="B184" s="799"/>
      <c r="C184" s="780"/>
      <c r="D184" s="780"/>
      <c r="E184" s="780"/>
      <c r="F184" s="780"/>
      <c r="G184" s="780"/>
      <c r="H184" s="780"/>
      <c r="I184" s="788"/>
      <c r="J184" s="1063"/>
      <c r="K184" s="1063"/>
      <c r="L184" s="1063"/>
      <c r="M184" s="1081"/>
      <c r="N184" s="1083"/>
      <c r="O184" s="1130"/>
      <c r="P184" s="1130"/>
      <c r="Q184" s="1039"/>
      <c r="R184" s="1039"/>
      <c r="S184" s="1039"/>
      <c r="T184" s="1039"/>
      <c r="U184" s="1039"/>
      <c r="V184" s="1039"/>
      <c r="W184" s="1039"/>
      <c r="X184" s="1039"/>
      <c r="Y184" s="1039"/>
      <c r="Z184" s="1039"/>
      <c r="AA184" s="1039"/>
      <c r="AB184" s="1039"/>
      <c r="AC184" s="1039"/>
      <c r="AD184" s="1039"/>
      <c r="AE184" s="1039"/>
      <c r="AF184" s="1039"/>
      <c r="CT184" s="753"/>
      <c r="CU184" s="753"/>
      <c r="CV184" s="753"/>
      <c r="CW184" s="753"/>
      <c r="CX184" s="753"/>
      <c r="CY184" s="753"/>
      <c r="CZ184" s="753"/>
      <c r="DA184" s="753"/>
      <c r="DB184" s="753"/>
      <c r="DC184" s="753"/>
      <c r="DD184" s="753"/>
      <c r="DE184" s="753"/>
      <c r="DF184" s="753"/>
      <c r="DG184" s="753"/>
      <c r="DH184" s="753"/>
      <c r="DI184" s="753"/>
      <c r="DJ184" s="753"/>
      <c r="DK184" s="753"/>
      <c r="DL184" s="753"/>
      <c r="DM184" s="753"/>
      <c r="DN184" s="753"/>
      <c r="DO184" s="753"/>
      <c r="DP184" s="753"/>
      <c r="DQ184" s="753"/>
      <c r="DR184" s="753"/>
      <c r="DS184" s="776"/>
    </row>
    <row r="185" spans="1:124" s="758" customFormat="1" ht="15.75">
      <c r="A185" s="794"/>
      <c r="B185" s="800"/>
      <c r="C185" s="780"/>
      <c r="D185" s="780"/>
      <c r="E185" s="780"/>
      <c r="F185" s="780"/>
      <c r="G185" s="780"/>
      <c r="H185" s="797"/>
      <c r="I185" s="787"/>
      <c r="J185" s="1063"/>
      <c r="K185" s="1063"/>
      <c r="L185" s="1063"/>
      <c r="M185" s="1081"/>
      <c r="N185" s="1083"/>
      <c r="O185" s="1130"/>
      <c r="P185" s="1130"/>
      <c r="Q185" s="1039"/>
      <c r="R185" s="1039"/>
      <c r="S185" s="1039"/>
      <c r="T185" s="1039"/>
      <c r="U185" s="1039"/>
      <c r="V185" s="1039"/>
      <c r="W185" s="1039"/>
      <c r="X185" s="1039"/>
      <c r="Y185" s="1039"/>
      <c r="Z185" s="1039"/>
      <c r="AA185" s="1039"/>
      <c r="AB185" s="1039"/>
      <c r="AC185" s="1039"/>
      <c r="AD185" s="1039"/>
      <c r="AE185" s="1039"/>
      <c r="AF185" s="1039"/>
      <c r="CT185" s="753"/>
      <c r="CU185" s="753"/>
      <c r="CV185" s="753"/>
      <c r="CW185" s="753"/>
      <c r="CX185" s="753"/>
      <c r="CY185" s="753"/>
      <c r="CZ185" s="753"/>
      <c r="DA185" s="753"/>
      <c r="DB185" s="753"/>
      <c r="DC185" s="753"/>
      <c r="DD185" s="753"/>
      <c r="DE185" s="753"/>
      <c r="DF185" s="753"/>
      <c r="DG185" s="753"/>
      <c r="DH185" s="753"/>
      <c r="DI185" s="753"/>
      <c r="DJ185" s="753"/>
      <c r="DK185" s="753"/>
      <c r="DL185" s="753"/>
      <c r="DM185" s="753"/>
      <c r="DN185" s="753"/>
      <c r="DO185" s="753"/>
      <c r="DP185" s="753"/>
      <c r="DQ185" s="753"/>
      <c r="DR185" s="753"/>
      <c r="DS185" s="776"/>
    </row>
    <row r="186" spans="1:124" s="758" customFormat="1" ht="15.75">
      <c r="A186" s="794"/>
      <c r="B186" s="800"/>
      <c r="C186" s="780"/>
      <c r="D186" s="780"/>
      <c r="E186" s="780"/>
      <c r="F186" s="780"/>
      <c r="G186" s="780"/>
      <c r="H186" s="797"/>
      <c r="I186" s="787"/>
      <c r="J186" s="1063"/>
      <c r="K186" s="1063"/>
      <c r="L186" s="1063"/>
      <c r="M186" s="1063"/>
      <c r="N186" s="1039"/>
      <c r="O186" s="1039"/>
      <c r="P186" s="1130"/>
      <c r="Q186" s="1039"/>
      <c r="R186" s="1039"/>
      <c r="S186" s="1039"/>
      <c r="T186" s="1039"/>
      <c r="U186" s="1039"/>
      <c r="V186" s="1039"/>
      <c r="W186" s="1039"/>
      <c r="X186" s="1039"/>
      <c r="Y186" s="1039"/>
      <c r="Z186" s="1039"/>
      <c r="AA186" s="1039"/>
      <c r="AB186" s="1039"/>
      <c r="AC186" s="1039"/>
      <c r="AD186" s="1039"/>
      <c r="AE186" s="1039"/>
      <c r="AF186" s="1039"/>
      <c r="CT186" s="753"/>
      <c r="CU186" s="753"/>
      <c r="CV186" s="753"/>
      <c r="CW186" s="753"/>
      <c r="CX186" s="753"/>
      <c r="CY186" s="753"/>
      <c r="CZ186" s="753"/>
      <c r="DA186" s="753"/>
      <c r="DB186" s="753"/>
      <c r="DC186" s="753"/>
      <c r="DD186" s="753"/>
      <c r="DE186" s="753"/>
      <c r="DF186" s="753"/>
      <c r="DG186" s="753"/>
      <c r="DH186" s="753"/>
      <c r="DI186" s="753"/>
      <c r="DJ186" s="753"/>
      <c r="DK186" s="753"/>
      <c r="DL186" s="753"/>
      <c r="DM186" s="753"/>
      <c r="DN186" s="753"/>
      <c r="DO186" s="753"/>
      <c r="DP186" s="753"/>
      <c r="DQ186" s="753"/>
      <c r="DR186" s="753"/>
      <c r="DS186" s="776"/>
    </row>
    <row r="187" spans="1:124" s="758" customFormat="1">
      <c r="A187" s="780"/>
      <c r="B187" s="800"/>
      <c r="C187" s="773"/>
      <c r="D187" s="805"/>
      <c r="E187" s="780"/>
      <c r="F187" s="780"/>
      <c r="G187" s="780"/>
      <c r="H187" s="780"/>
      <c r="I187" s="815"/>
      <c r="J187" s="1063"/>
      <c r="K187" s="1063"/>
      <c r="L187" s="1063"/>
      <c r="M187" s="1149"/>
      <c r="N187" s="1083"/>
      <c r="O187" s="1130"/>
      <c r="P187" s="1130"/>
      <c r="Q187" s="1039"/>
      <c r="R187" s="1039"/>
      <c r="S187" s="1039"/>
      <c r="T187" s="1039"/>
      <c r="U187" s="1039"/>
      <c r="V187" s="1039"/>
      <c r="W187" s="1039"/>
      <c r="X187" s="1039"/>
      <c r="Y187" s="1039"/>
      <c r="Z187" s="1039"/>
      <c r="AA187" s="1039"/>
      <c r="AB187" s="1039"/>
      <c r="AC187" s="1039"/>
      <c r="AD187" s="1039"/>
      <c r="AE187" s="1039"/>
      <c r="AF187" s="1039"/>
      <c r="CT187" s="753"/>
      <c r="CU187" s="753"/>
      <c r="CV187" s="753"/>
      <c r="CW187" s="753"/>
      <c r="CX187" s="753"/>
      <c r="CY187" s="753"/>
      <c r="CZ187" s="753"/>
      <c r="DA187" s="753"/>
      <c r="DB187" s="753"/>
      <c r="DC187" s="753"/>
      <c r="DD187" s="753"/>
      <c r="DE187" s="753"/>
      <c r="DF187" s="753"/>
      <c r="DG187" s="753"/>
      <c r="DH187" s="753"/>
      <c r="DI187" s="753"/>
      <c r="DJ187" s="753"/>
      <c r="DK187" s="753"/>
      <c r="DL187" s="753"/>
      <c r="DM187" s="753"/>
      <c r="DN187" s="753"/>
      <c r="DO187" s="753"/>
      <c r="DP187" s="753"/>
      <c r="DQ187" s="753"/>
      <c r="DR187" s="753"/>
      <c r="DS187" s="776"/>
    </row>
    <row r="188" spans="1:124" s="758" customFormat="1">
      <c r="A188" s="780"/>
      <c r="B188" s="774"/>
      <c r="C188" s="804"/>
      <c r="D188" s="804"/>
      <c r="E188" s="780"/>
      <c r="F188" s="780"/>
      <c r="G188" s="780"/>
      <c r="H188" s="780"/>
      <c r="I188" s="815"/>
      <c r="J188" s="1063"/>
      <c r="K188" s="1063"/>
      <c r="L188" s="1063"/>
      <c r="M188" s="1081"/>
      <c r="N188" s="1137"/>
      <c r="O188" s="1130"/>
      <c r="P188" s="1130"/>
      <c r="Q188" s="1039"/>
      <c r="R188" s="1039"/>
      <c r="S188" s="1039"/>
      <c r="T188" s="1039"/>
      <c r="U188" s="1039"/>
      <c r="V188" s="1039"/>
      <c r="W188" s="1039"/>
      <c r="X188" s="1039"/>
      <c r="Y188" s="1039"/>
      <c r="Z188" s="1039"/>
      <c r="AA188" s="1039"/>
      <c r="AB188" s="1039"/>
      <c r="AC188" s="1039"/>
      <c r="AD188" s="1039"/>
      <c r="AE188" s="1039"/>
      <c r="AF188" s="1039"/>
      <c r="CT188" s="753"/>
      <c r="CU188" s="753"/>
      <c r="CV188" s="753"/>
      <c r="CW188" s="753"/>
      <c r="CX188" s="753"/>
      <c r="CY188" s="753"/>
      <c r="CZ188" s="753"/>
      <c r="DA188" s="753"/>
      <c r="DB188" s="753"/>
      <c r="DC188" s="753"/>
      <c r="DD188" s="753"/>
      <c r="DE188" s="753"/>
      <c r="DF188" s="753"/>
      <c r="DG188" s="753"/>
      <c r="DH188" s="753"/>
      <c r="DI188" s="753"/>
      <c r="DJ188" s="753"/>
      <c r="DK188" s="753"/>
      <c r="DL188" s="753"/>
      <c r="DM188" s="753"/>
      <c r="DN188" s="753"/>
      <c r="DO188" s="753"/>
      <c r="DP188" s="753"/>
      <c r="DQ188" s="753"/>
      <c r="DR188" s="753"/>
      <c r="DS188" s="776"/>
    </row>
    <row r="189" spans="1:124" s="758" customFormat="1">
      <c r="A189" s="806"/>
      <c r="B189" s="780"/>
      <c r="C189" s="780"/>
      <c r="D189" s="780"/>
      <c r="E189" s="780"/>
      <c r="F189" s="780"/>
      <c r="G189" s="780"/>
      <c r="H189" s="780"/>
      <c r="I189" s="788"/>
      <c r="J189" s="1063"/>
      <c r="K189" s="1063"/>
      <c r="L189" s="1063"/>
      <c r="M189" s="1081"/>
      <c r="N189" s="1083"/>
      <c r="O189" s="1130"/>
      <c r="P189" s="1039"/>
      <c r="Q189" s="1039"/>
      <c r="R189" s="1039"/>
      <c r="S189" s="1039"/>
      <c r="T189" s="1039"/>
      <c r="U189" s="1039"/>
      <c r="V189" s="1039"/>
      <c r="W189" s="1039"/>
      <c r="X189" s="1039"/>
      <c r="Y189" s="1039"/>
      <c r="Z189" s="1039"/>
      <c r="AA189" s="1039"/>
      <c r="AB189" s="1039"/>
      <c r="AC189" s="1039"/>
      <c r="AD189" s="1039"/>
      <c r="AE189" s="1039"/>
      <c r="AF189" s="1039"/>
      <c r="CT189" s="753"/>
      <c r="CU189" s="753"/>
      <c r="CV189" s="753"/>
      <c r="CW189" s="753"/>
      <c r="CX189" s="753"/>
      <c r="CY189" s="753"/>
      <c r="CZ189" s="753"/>
      <c r="DA189" s="753"/>
      <c r="DB189" s="753"/>
      <c r="DC189" s="753"/>
      <c r="DD189" s="753"/>
      <c r="DE189" s="753"/>
      <c r="DF189" s="753"/>
      <c r="DG189" s="753"/>
      <c r="DH189" s="753"/>
      <c r="DI189" s="753"/>
      <c r="DJ189" s="753"/>
      <c r="DK189" s="753"/>
      <c r="DL189" s="753"/>
      <c r="DM189" s="753"/>
      <c r="DN189" s="753"/>
      <c r="DO189" s="753"/>
      <c r="DP189" s="753"/>
      <c r="DQ189" s="753"/>
      <c r="DR189" s="753"/>
      <c r="DS189" s="776"/>
      <c r="DT189" s="779"/>
    </row>
    <row r="190" spans="1:124" s="758" customFormat="1" ht="15.75">
      <c r="A190" s="794"/>
      <c r="B190" s="800"/>
      <c r="C190" s="780"/>
      <c r="D190" s="780"/>
      <c r="E190" s="780"/>
      <c r="F190" s="780"/>
      <c r="G190" s="780"/>
      <c r="H190" s="797"/>
      <c r="I190" s="787"/>
      <c r="J190" s="1063"/>
      <c r="K190" s="1063"/>
      <c r="L190" s="1063"/>
      <c r="M190" s="1081"/>
      <c r="N190" s="1151"/>
      <c r="O190" s="1130"/>
      <c r="P190" s="1130"/>
      <c r="Q190" s="1039"/>
      <c r="R190" s="1039"/>
      <c r="S190" s="1039"/>
      <c r="T190" s="1039"/>
      <c r="U190" s="1039"/>
      <c r="V190" s="1039"/>
      <c r="W190" s="1039"/>
      <c r="X190" s="1039"/>
      <c r="Y190" s="1039"/>
      <c r="Z190" s="1039"/>
      <c r="AA190" s="1039"/>
      <c r="AB190" s="1039"/>
      <c r="AC190" s="1039"/>
      <c r="AD190" s="1039"/>
      <c r="AE190" s="1039"/>
      <c r="AF190" s="1039"/>
      <c r="CT190" s="753"/>
      <c r="CU190" s="753"/>
      <c r="CV190" s="753"/>
      <c r="CW190" s="753"/>
      <c r="CX190" s="753"/>
      <c r="CY190" s="753"/>
      <c r="CZ190" s="753"/>
      <c r="DA190" s="753"/>
      <c r="DB190" s="753"/>
      <c r="DC190" s="753"/>
      <c r="DD190" s="753"/>
      <c r="DE190" s="753"/>
      <c r="DF190" s="753"/>
      <c r="DG190" s="753"/>
      <c r="DH190" s="753"/>
      <c r="DI190" s="753"/>
      <c r="DJ190" s="753"/>
      <c r="DK190" s="753"/>
      <c r="DL190" s="753"/>
      <c r="DM190" s="753"/>
      <c r="DN190" s="753"/>
      <c r="DO190" s="753"/>
      <c r="DP190" s="753"/>
      <c r="DQ190" s="753"/>
      <c r="DR190" s="753"/>
      <c r="DS190" s="776"/>
      <c r="DT190" s="781"/>
    </row>
    <row r="191" spans="1:124" s="758" customFormat="1" ht="15.75">
      <c r="A191" s="794"/>
      <c r="B191" s="800"/>
      <c r="C191" s="780"/>
      <c r="D191" s="780"/>
      <c r="E191" s="780"/>
      <c r="F191" s="780"/>
      <c r="G191" s="773"/>
      <c r="H191" s="797"/>
      <c r="I191" s="787"/>
      <c r="J191" s="1063"/>
      <c r="K191" s="1063"/>
      <c r="L191" s="1063"/>
      <c r="M191" s="1081"/>
      <c r="N191" s="1083"/>
      <c r="O191" s="1130"/>
      <c r="P191" s="1039"/>
      <c r="Q191" s="1039"/>
      <c r="R191" s="1039"/>
      <c r="S191" s="1039"/>
      <c r="T191" s="1039"/>
      <c r="U191" s="1039"/>
      <c r="V191" s="1039"/>
      <c r="W191" s="1039"/>
      <c r="X191" s="1039"/>
      <c r="Y191" s="1039"/>
      <c r="Z191" s="1039"/>
      <c r="AA191" s="1039"/>
      <c r="AB191" s="1039"/>
      <c r="AC191" s="1039"/>
      <c r="AD191" s="1039"/>
      <c r="AE191" s="1039"/>
      <c r="AF191" s="1039"/>
      <c r="CT191" s="753"/>
      <c r="CU191" s="753"/>
      <c r="CV191" s="753"/>
      <c r="CW191" s="753"/>
      <c r="CX191" s="753"/>
      <c r="CY191" s="753"/>
      <c r="CZ191" s="753"/>
      <c r="DA191" s="753"/>
      <c r="DB191" s="753"/>
      <c r="DC191" s="753"/>
      <c r="DD191" s="753"/>
      <c r="DE191" s="753"/>
      <c r="DF191" s="753"/>
      <c r="DG191" s="753"/>
      <c r="DH191" s="753"/>
      <c r="DI191" s="753"/>
      <c r="DJ191" s="753"/>
      <c r="DK191" s="753"/>
      <c r="DL191" s="753"/>
      <c r="DM191" s="753"/>
      <c r="DN191" s="753"/>
      <c r="DO191" s="753"/>
      <c r="DP191" s="753"/>
      <c r="DQ191" s="753"/>
      <c r="DR191" s="753"/>
      <c r="DS191" s="776"/>
      <c r="DT191" s="779"/>
    </row>
    <row r="192" spans="1:124" s="758" customFormat="1">
      <c r="A192" s="780"/>
      <c r="B192" s="774"/>
      <c r="C192" s="804"/>
      <c r="D192" s="804"/>
      <c r="E192" s="773"/>
      <c r="F192" s="780"/>
      <c r="G192" s="780"/>
      <c r="H192" s="798"/>
      <c r="I192" s="816"/>
      <c r="J192" s="1063"/>
      <c r="K192" s="1063"/>
      <c r="L192" s="1063"/>
      <c r="M192" s="1081"/>
      <c r="N192" s="1083"/>
      <c r="O192" s="1130"/>
      <c r="P192" s="1130"/>
      <c r="Q192" s="1039"/>
      <c r="R192" s="1039"/>
      <c r="S192" s="1039"/>
      <c r="T192" s="1039"/>
      <c r="U192" s="1039"/>
      <c r="V192" s="1039"/>
      <c r="W192" s="1039"/>
      <c r="X192" s="1039"/>
      <c r="Y192" s="1039"/>
      <c r="Z192" s="1039"/>
      <c r="AA192" s="1039"/>
      <c r="AB192" s="1039"/>
      <c r="AC192" s="1039"/>
      <c r="AD192" s="1039"/>
      <c r="AE192" s="1039"/>
      <c r="AF192" s="1039"/>
      <c r="CT192" s="753"/>
      <c r="CU192" s="753"/>
      <c r="CV192" s="753"/>
      <c r="CW192" s="753"/>
      <c r="CX192" s="753"/>
      <c r="CY192" s="753"/>
      <c r="CZ192" s="753"/>
      <c r="DA192" s="753"/>
      <c r="DB192" s="753"/>
      <c r="DC192" s="753"/>
      <c r="DD192" s="753"/>
      <c r="DE192" s="753"/>
      <c r="DF192" s="753"/>
      <c r="DG192" s="753"/>
      <c r="DH192" s="753"/>
      <c r="DI192" s="753"/>
      <c r="DJ192" s="753"/>
      <c r="DK192" s="753"/>
      <c r="DL192" s="753"/>
      <c r="DM192" s="753"/>
      <c r="DN192" s="753"/>
      <c r="DO192" s="753"/>
      <c r="DP192" s="753"/>
      <c r="DQ192" s="753"/>
      <c r="DR192" s="753"/>
      <c r="DS192" s="776"/>
    </row>
    <row r="193" spans="1:123" s="758" customFormat="1">
      <c r="A193" s="780"/>
      <c r="B193" s="780"/>
      <c r="C193" s="780"/>
      <c r="D193" s="780"/>
      <c r="E193" s="780"/>
      <c r="F193" s="780"/>
      <c r="G193" s="780"/>
      <c r="H193" s="780"/>
      <c r="I193" s="780"/>
      <c r="J193" s="1063"/>
      <c r="K193" s="1063"/>
      <c r="L193" s="1063"/>
      <c r="M193" s="1063"/>
      <c r="N193" s="1039"/>
      <c r="O193" s="1039"/>
      <c r="P193" s="1130"/>
      <c r="Q193" s="1039"/>
      <c r="R193" s="1039"/>
      <c r="S193" s="1039"/>
      <c r="T193" s="1039"/>
      <c r="U193" s="1039"/>
      <c r="V193" s="1039"/>
      <c r="W193" s="1039"/>
      <c r="X193" s="1039"/>
      <c r="Y193" s="1039"/>
      <c r="Z193" s="1039"/>
      <c r="AA193" s="1039"/>
      <c r="AB193" s="1039"/>
      <c r="AC193" s="1039"/>
      <c r="AD193" s="1039"/>
      <c r="AE193" s="1039"/>
      <c r="AF193" s="1039"/>
      <c r="CT193" s="753"/>
      <c r="CU193" s="753"/>
      <c r="CV193" s="753"/>
      <c r="CW193" s="753"/>
      <c r="CX193" s="753"/>
      <c r="CY193" s="753"/>
      <c r="CZ193" s="753"/>
      <c r="DA193" s="753"/>
      <c r="DB193" s="753"/>
      <c r="DC193" s="753"/>
      <c r="DD193" s="753"/>
      <c r="DE193" s="753"/>
      <c r="DF193" s="753"/>
      <c r="DG193" s="753"/>
      <c r="DH193" s="753"/>
      <c r="DI193" s="753"/>
      <c r="DJ193" s="753"/>
      <c r="DK193" s="753"/>
      <c r="DL193" s="753"/>
      <c r="DM193" s="753"/>
      <c r="DN193" s="753"/>
      <c r="DO193" s="753"/>
      <c r="DP193" s="753"/>
      <c r="DQ193" s="753"/>
      <c r="DR193" s="753"/>
      <c r="DS193" s="776"/>
    </row>
    <row r="194" spans="1:123" s="758" customFormat="1">
      <c r="A194" s="796"/>
      <c r="B194" s="800"/>
      <c r="C194" s="804"/>
      <c r="D194" s="804"/>
      <c r="E194" s="773"/>
      <c r="F194" s="773"/>
      <c r="G194" s="780"/>
      <c r="H194" s="801"/>
      <c r="I194" s="764"/>
      <c r="J194" s="1063"/>
      <c r="K194" s="1063"/>
      <c r="L194" s="1063"/>
      <c r="M194" s="1081"/>
      <c r="N194" s="1083"/>
      <c r="O194" s="1130"/>
      <c r="P194" s="1130"/>
      <c r="Q194" s="1039"/>
      <c r="R194" s="1039"/>
      <c r="S194" s="1039"/>
      <c r="T194" s="1039"/>
      <c r="U194" s="1039"/>
      <c r="V194" s="1039"/>
      <c r="W194" s="1039"/>
      <c r="X194" s="1039"/>
      <c r="Y194" s="1039"/>
      <c r="Z194" s="1039"/>
      <c r="AA194" s="1039"/>
      <c r="AB194" s="1039"/>
      <c r="AC194" s="1039"/>
      <c r="AD194" s="1039"/>
      <c r="AE194" s="1039"/>
      <c r="AF194" s="1039"/>
      <c r="CT194" s="753"/>
      <c r="CU194" s="753"/>
      <c r="CV194" s="753"/>
      <c r="CW194" s="753"/>
      <c r="CX194" s="753"/>
      <c r="CY194" s="753"/>
      <c r="CZ194" s="753"/>
      <c r="DA194" s="753"/>
      <c r="DB194" s="753"/>
      <c r="DC194" s="753"/>
      <c r="DD194" s="753"/>
      <c r="DE194" s="753"/>
      <c r="DF194" s="753"/>
      <c r="DG194" s="753"/>
      <c r="DH194" s="753"/>
      <c r="DI194" s="753"/>
      <c r="DJ194" s="753"/>
      <c r="DK194" s="753"/>
      <c r="DL194" s="753"/>
      <c r="DM194" s="753"/>
      <c r="DN194" s="753"/>
      <c r="DO194" s="753"/>
      <c r="DP194" s="753"/>
      <c r="DQ194" s="753"/>
      <c r="DR194" s="753"/>
      <c r="DS194" s="776"/>
    </row>
    <row r="195" spans="1:123" s="758" customFormat="1">
      <c r="A195" s="798"/>
      <c r="B195" s="800"/>
      <c r="C195" s="809"/>
      <c r="D195" s="804"/>
      <c r="E195" s="780"/>
      <c r="F195" s="780"/>
      <c r="G195" s="780"/>
      <c r="H195" s="780"/>
      <c r="I195" s="788"/>
      <c r="J195" s="1063"/>
      <c r="K195" s="1063"/>
      <c r="L195" s="1063"/>
      <c r="M195" s="1081"/>
      <c r="N195" s="1137"/>
      <c r="O195" s="1130"/>
      <c r="P195" s="1130"/>
      <c r="Q195" s="1039"/>
      <c r="R195" s="1039"/>
      <c r="S195" s="1039"/>
      <c r="T195" s="1039"/>
      <c r="U195" s="1039"/>
      <c r="V195" s="1039"/>
      <c r="W195" s="1039"/>
      <c r="X195" s="1039"/>
      <c r="Y195" s="1039"/>
      <c r="Z195" s="1039"/>
      <c r="AA195" s="1039"/>
      <c r="AB195" s="1039"/>
      <c r="AC195" s="1039"/>
      <c r="AD195" s="1039"/>
      <c r="AE195" s="1039"/>
      <c r="AF195" s="1039"/>
      <c r="CT195" s="753"/>
      <c r="CU195" s="753"/>
      <c r="CV195" s="753"/>
      <c r="CW195" s="753"/>
      <c r="CX195" s="753"/>
      <c r="CY195" s="753"/>
      <c r="CZ195" s="753"/>
      <c r="DA195" s="753"/>
      <c r="DB195" s="753"/>
      <c r="DC195" s="753"/>
      <c r="DD195" s="753"/>
      <c r="DE195" s="753"/>
      <c r="DF195" s="753"/>
      <c r="DG195" s="753"/>
      <c r="DH195" s="753"/>
      <c r="DI195" s="753"/>
      <c r="DJ195" s="753"/>
      <c r="DK195" s="753"/>
      <c r="DL195" s="753"/>
      <c r="DM195" s="753"/>
      <c r="DN195" s="753"/>
      <c r="DO195" s="753"/>
      <c r="DP195" s="753"/>
      <c r="DQ195" s="753"/>
      <c r="DR195" s="753"/>
      <c r="DS195" s="776"/>
    </row>
    <row r="196" spans="1:123" s="758" customFormat="1">
      <c r="A196" s="798"/>
      <c r="B196" s="800"/>
      <c r="C196" s="804"/>
      <c r="D196" s="804"/>
      <c r="E196" s="773"/>
      <c r="F196" s="773"/>
      <c r="G196" s="773"/>
      <c r="H196" s="773"/>
      <c r="I196" s="764"/>
      <c r="J196" s="1063"/>
      <c r="K196" s="1063"/>
      <c r="L196" s="1063"/>
      <c r="M196" s="782"/>
      <c r="N196" s="1137"/>
      <c r="O196" s="1130"/>
      <c r="P196" s="783"/>
      <c r="Q196" s="1039"/>
      <c r="R196" s="1039"/>
      <c r="S196" s="1039"/>
      <c r="T196" s="1039"/>
      <c r="U196" s="1039"/>
      <c r="V196" s="1039"/>
      <c r="W196" s="1039"/>
      <c r="X196" s="1039"/>
      <c r="Y196" s="1039"/>
      <c r="Z196" s="1039"/>
      <c r="AA196" s="1039"/>
      <c r="AB196" s="1039"/>
      <c r="AC196" s="1039"/>
      <c r="AD196" s="1039"/>
      <c r="AE196" s="1039"/>
      <c r="AF196" s="1039"/>
      <c r="CT196" s="753"/>
      <c r="CU196" s="753"/>
      <c r="CV196" s="753"/>
      <c r="CW196" s="753"/>
      <c r="CX196" s="753"/>
      <c r="CY196" s="753"/>
      <c r="CZ196" s="753"/>
      <c r="DA196" s="753"/>
      <c r="DB196" s="753"/>
      <c r="DC196" s="753"/>
      <c r="DD196" s="753"/>
      <c r="DE196" s="753"/>
      <c r="DF196" s="753"/>
      <c r="DG196" s="753"/>
      <c r="DH196" s="753"/>
      <c r="DI196" s="753"/>
      <c r="DJ196" s="753"/>
      <c r="DK196" s="753"/>
      <c r="DL196" s="753"/>
      <c r="DM196" s="753"/>
      <c r="DN196" s="753"/>
      <c r="DO196" s="753"/>
      <c r="DP196" s="753"/>
      <c r="DQ196" s="753"/>
      <c r="DR196" s="753"/>
      <c r="DS196" s="776"/>
    </row>
    <row r="197" spans="1:123" s="758" customFormat="1">
      <c r="A197" s="798"/>
      <c r="B197" s="800"/>
      <c r="C197" s="804"/>
      <c r="D197" s="804"/>
      <c r="E197" s="780"/>
      <c r="F197" s="780"/>
      <c r="G197" s="780"/>
      <c r="H197" s="801"/>
      <c r="I197" s="764"/>
      <c r="J197" s="1063"/>
      <c r="K197" s="1063"/>
      <c r="L197" s="1063"/>
      <c r="M197" s="782"/>
      <c r="N197" s="1137"/>
      <c r="O197" s="1130"/>
      <c r="P197" s="783"/>
      <c r="Q197" s="1039"/>
      <c r="R197" s="1039"/>
      <c r="S197" s="1039"/>
      <c r="T197" s="1039"/>
      <c r="U197" s="1039"/>
      <c r="V197" s="1039"/>
      <c r="W197" s="1039"/>
      <c r="X197" s="1039"/>
      <c r="Y197" s="1039"/>
      <c r="Z197" s="1039"/>
      <c r="AA197" s="1039"/>
      <c r="AB197" s="1039"/>
      <c r="AC197" s="1039"/>
      <c r="AD197" s="1039"/>
      <c r="AE197" s="1039"/>
      <c r="AF197" s="1039"/>
      <c r="CT197" s="753"/>
      <c r="CU197" s="753"/>
      <c r="CV197" s="753"/>
      <c r="CW197" s="753"/>
      <c r="CX197" s="753"/>
      <c r="CY197" s="753"/>
      <c r="CZ197" s="753"/>
      <c r="DA197" s="753"/>
      <c r="DB197" s="753"/>
      <c r="DC197" s="753"/>
      <c r="DD197" s="753"/>
      <c r="DE197" s="753"/>
      <c r="DF197" s="753"/>
      <c r="DG197" s="753"/>
      <c r="DH197" s="753"/>
      <c r="DI197" s="753"/>
      <c r="DJ197" s="753"/>
      <c r="DK197" s="753"/>
      <c r="DL197" s="753"/>
      <c r="DM197" s="753"/>
      <c r="DN197" s="753"/>
      <c r="DO197" s="753"/>
      <c r="DP197" s="753"/>
      <c r="DQ197" s="753"/>
      <c r="DR197" s="753"/>
      <c r="DS197" s="776"/>
    </row>
    <row r="198" spans="1:123" s="758" customFormat="1">
      <c r="A198" s="798"/>
      <c r="B198" s="800"/>
      <c r="C198" s="804"/>
      <c r="D198" s="804"/>
      <c r="E198" s="773"/>
      <c r="F198" s="773"/>
      <c r="G198" s="773"/>
      <c r="H198" s="773"/>
      <c r="I198" s="764"/>
      <c r="J198" s="1063"/>
      <c r="K198" s="1063"/>
      <c r="L198" s="1063"/>
      <c r="M198" s="1063"/>
      <c r="N198" s="1039"/>
      <c r="O198" s="1039"/>
      <c r="P198" s="1130"/>
      <c r="Q198" s="1039"/>
      <c r="R198" s="1039"/>
      <c r="S198" s="1039"/>
      <c r="T198" s="1039"/>
      <c r="U198" s="1039"/>
      <c r="V198" s="1039"/>
      <c r="W198" s="1039"/>
      <c r="X198" s="1039"/>
      <c r="Y198" s="1039"/>
      <c r="Z198" s="1039"/>
      <c r="AA198" s="1039"/>
      <c r="AB198" s="1039"/>
      <c r="AC198" s="1039"/>
      <c r="AD198" s="1039"/>
      <c r="AE198" s="1039"/>
      <c r="AF198" s="1039"/>
      <c r="CT198" s="753"/>
      <c r="CU198" s="753"/>
      <c r="CV198" s="753"/>
      <c r="CW198" s="753"/>
      <c r="CX198" s="753"/>
      <c r="CY198" s="753"/>
      <c r="CZ198" s="753"/>
      <c r="DA198" s="753"/>
      <c r="DB198" s="753"/>
      <c r="DC198" s="753"/>
      <c r="DD198" s="753"/>
      <c r="DE198" s="753"/>
      <c r="DF198" s="753"/>
      <c r="DG198" s="753"/>
      <c r="DH198" s="753"/>
      <c r="DI198" s="753"/>
      <c r="DJ198" s="753"/>
      <c r="DK198" s="753"/>
      <c r="DL198" s="753"/>
      <c r="DM198" s="753"/>
      <c r="DN198" s="753"/>
      <c r="DO198" s="753"/>
      <c r="DP198" s="753"/>
      <c r="DQ198" s="753"/>
      <c r="DR198" s="753"/>
      <c r="DS198" s="776"/>
    </row>
    <row r="199" spans="1:123" s="758" customFormat="1">
      <c r="A199" s="798"/>
      <c r="B199" s="800"/>
      <c r="C199" s="804"/>
      <c r="D199" s="804"/>
      <c r="E199" s="773"/>
      <c r="F199" s="773"/>
      <c r="G199" s="773"/>
      <c r="H199" s="797"/>
      <c r="I199" s="787"/>
      <c r="J199" s="1063"/>
      <c r="K199" s="1063"/>
      <c r="L199" s="1063"/>
      <c r="M199" s="1081"/>
      <c r="N199" s="1137"/>
      <c r="O199" s="1130"/>
      <c r="P199" s="1130"/>
      <c r="Q199" s="1039"/>
      <c r="R199" s="1039"/>
      <c r="S199" s="1039"/>
      <c r="T199" s="1039"/>
      <c r="U199" s="1039"/>
      <c r="V199" s="1039"/>
      <c r="W199" s="1039"/>
      <c r="X199" s="1039"/>
      <c r="Y199" s="1039"/>
      <c r="Z199" s="1039"/>
      <c r="AA199" s="1039"/>
      <c r="AB199" s="1039"/>
      <c r="AC199" s="1039"/>
      <c r="AD199" s="1039"/>
      <c r="AE199" s="1039"/>
      <c r="AF199" s="1039"/>
      <c r="CT199" s="753"/>
      <c r="CU199" s="753"/>
      <c r="CV199" s="753"/>
      <c r="CW199" s="753"/>
      <c r="CX199" s="753"/>
      <c r="CY199" s="753"/>
      <c r="CZ199" s="753"/>
      <c r="DA199" s="753"/>
      <c r="DB199" s="753"/>
      <c r="DC199" s="753"/>
      <c r="DD199" s="753"/>
      <c r="DE199" s="753"/>
      <c r="DF199" s="753"/>
      <c r="DG199" s="753"/>
      <c r="DH199" s="753"/>
      <c r="DI199" s="753"/>
      <c r="DJ199" s="753"/>
      <c r="DK199" s="753"/>
      <c r="DL199" s="753"/>
      <c r="DM199" s="753"/>
      <c r="DN199" s="753"/>
      <c r="DO199" s="753"/>
      <c r="DP199" s="753"/>
      <c r="DQ199" s="753"/>
      <c r="DR199" s="753"/>
      <c r="DS199" s="776"/>
    </row>
    <row r="200" spans="1:123" s="758" customFormat="1">
      <c r="A200" s="784"/>
      <c r="B200" s="817"/>
      <c r="C200" s="773"/>
      <c r="D200" s="818"/>
      <c r="E200" s="780"/>
      <c r="F200" s="780"/>
      <c r="G200" s="780"/>
      <c r="H200" s="780"/>
      <c r="I200" s="780"/>
      <c r="J200" s="1063"/>
      <c r="K200" s="1063"/>
      <c r="L200" s="1063"/>
      <c r="M200" s="1081"/>
      <c r="N200" s="1083"/>
      <c r="O200" s="1130"/>
      <c r="P200" s="1130"/>
      <c r="Q200" s="1039"/>
      <c r="R200" s="1039"/>
      <c r="S200" s="1039"/>
      <c r="T200" s="1039"/>
      <c r="U200" s="1039"/>
      <c r="V200" s="1039"/>
      <c r="W200" s="1039"/>
      <c r="X200" s="1039"/>
      <c r="Y200" s="1039"/>
      <c r="Z200" s="1039"/>
      <c r="AA200" s="1039"/>
      <c r="AB200" s="1039"/>
      <c r="AC200" s="1039"/>
      <c r="AD200" s="1039"/>
      <c r="AE200" s="1039"/>
      <c r="AF200" s="1039"/>
      <c r="CT200" s="753"/>
      <c r="CU200" s="753"/>
      <c r="CV200" s="753"/>
      <c r="CW200" s="753"/>
      <c r="CX200" s="753"/>
      <c r="CY200" s="753"/>
      <c r="CZ200" s="753"/>
      <c r="DA200" s="753"/>
      <c r="DB200" s="753"/>
      <c r="DC200" s="753"/>
      <c r="DD200" s="753"/>
      <c r="DE200" s="753"/>
      <c r="DF200" s="753"/>
      <c r="DG200" s="753"/>
      <c r="DH200" s="753"/>
      <c r="DI200" s="753"/>
      <c r="DJ200" s="753"/>
      <c r="DK200" s="753"/>
      <c r="DL200" s="753"/>
      <c r="DM200" s="753"/>
      <c r="DN200" s="753"/>
      <c r="DO200" s="753"/>
      <c r="DP200" s="753"/>
      <c r="DQ200" s="753"/>
      <c r="DR200" s="753"/>
      <c r="DS200" s="776"/>
    </row>
    <row r="201" spans="1:123" s="758" customFormat="1">
      <c r="A201" s="784"/>
      <c r="B201" s="774"/>
      <c r="C201" s="804"/>
      <c r="D201" s="804"/>
      <c r="E201" s="770"/>
      <c r="F201" s="780"/>
      <c r="G201" s="780"/>
      <c r="H201" s="780"/>
      <c r="I201" s="773"/>
      <c r="J201" s="1063"/>
      <c r="K201" s="1063"/>
      <c r="L201" s="1063"/>
      <c r="M201" s="1081"/>
      <c r="N201" s="1083"/>
      <c r="O201" s="1130"/>
      <c r="P201" s="1130"/>
      <c r="Q201" s="1039"/>
      <c r="R201" s="1039"/>
      <c r="S201" s="1039"/>
      <c r="T201" s="1039"/>
      <c r="U201" s="1039"/>
      <c r="V201" s="1039"/>
      <c r="W201" s="1039"/>
      <c r="X201" s="1039"/>
      <c r="Y201" s="1039"/>
      <c r="Z201" s="1039"/>
      <c r="AA201" s="1039"/>
      <c r="AB201" s="1039"/>
      <c r="AC201" s="1039"/>
      <c r="AD201" s="1039"/>
      <c r="AE201" s="1039"/>
      <c r="AF201" s="1039"/>
      <c r="CT201" s="753"/>
      <c r="CU201" s="753"/>
      <c r="CV201" s="753"/>
      <c r="CW201" s="753"/>
      <c r="CX201" s="753"/>
      <c r="CY201" s="753"/>
      <c r="CZ201" s="753"/>
      <c r="DA201" s="753"/>
      <c r="DB201" s="753"/>
      <c r="DC201" s="753"/>
      <c r="DD201" s="753"/>
      <c r="DE201" s="753"/>
      <c r="DF201" s="753"/>
      <c r="DG201" s="753"/>
      <c r="DH201" s="753"/>
      <c r="DI201" s="753"/>
      <c r="DJ201" s="753"/>
      <c r="DK201" s="753"/>
      <c r="DL201" s="753"/>
      <c r="DM201" s="753"/>
      <c r="DN201" s="753"/>
      <c r="DO201" s="753"/>
      <c r="DP201" s="753"/>
      <c r="DQ201" s="753"/>
      <c r="DR201" s="753"/>
      <c r="DS201" s="776"/>
    </row>
    <row r="202" spans="1:123" s="758" customFormat="1">
      <c r="A202" s="784"/>
      <c r="B202" s="819"/>
      <c r="C202" s="804"/>
      <c r="D202" s="804"/>
      <c r="E202" s="770"/>
      <c r="F202" s="780"/>
      <c r="G202" s="780"/>
      <c r="H202" s="780"/>
      <c r="I202" s="773"/>
      <c r="J202" s="1063"/>
      <c r="K202" s="1063"/>
      <c r="L202" s="1063"/>
      <c r="M202" s="1063"/>
      <c r="N202" s="1039"/>
      <c r="O202" s="1039"/>
      <c r="P202" s="1130"/>
      <c r="Q202" s="1039"/>
      <c r="R202" s="1039"/>
      <c r="S202" s="1039"/>
      <c r="T202" s="1039"/>
      <c r="U202" s="1039"/>
      <c r="V202" s="1039"/>
      <c r="W202" s="1039"/>
      <c r="X202" s="1039"/>
      <c r="Y202" s="1039"/>
      <c r="Z202" s="1039"/>
      <c r="AA202" s="1039"/>
      <c r="AB202" s="1039"/>
      <c r="AC202" s="1039"/>
      <c r="AD202" s="1039"/>
      <c r="AE202" s="1039"/>
      <c r="AF202" s="1039"/>
      <c r="CT202" s="753"/>
      <c r="CU202" s="753"/>
      <c r="CV202" s="753"/>
      <c r="CW202" s="753"/>
      <c r="CX202" s="753"/>
      <c r="CY202" s="753"/>
      <c r="CZ202" s="753"/>
      <c r="DA202" s="753"/>
      <c r="DB202" s="753"/>
      <c r="DC202" s="753"/>
      <c r="DD202" s="753"/>
      <c r="DE202" s="753"/>
      <c r="DF202" s="753"/>
      <c r="DG202" s="753"/>
      <c r="DH202" s="753"/>
      <c r="DI202" s="753"/>
      <c r="DJ202" s="753"/>
      <c r="DK202" s="753"/>
      <c r="DL202" s="753"/>
      <c r="DM202" s="753"/>
      <c r="DN202" s="753"/>
      <c r="DO202" s="753"/>
      <c r="DP202" s="753"/>
      <c r="DQ202" s="753"/>
      <c r="DR202" s="753"/>
      <c r="DS202" s="776"/>
    </row>
    <row r="203" spans="1:123" s="758" customFormat="1">
      <c r="A203" s="806"/>
      <c r="B203" s="800"/>
      <c r="C203" s="804"/>
      <c r="D203" s="805"/>
      <c r="E203" s="802"/>
      <c r="F203" s="780"/>
      <c r="G203" s="780"/>
      <c r="H203" s="780"/>
      <c r="I203" s="780"/>
      <c r="J203" s="1063"/>
      <c r="K203" s="1063"/>
      <c r="L203" s="1063"/>
      <c r="M203" s="1081"/>
      <c r="N203" s="1137"/>
      <c r="O203" s="1130"/>
      <c r="P203" s="1130"/>
      <c r="Q203" s="1039"/>
      <c r="R203" s="1039"/>
      <c r="S203" s="1039"/>
      <c r="T203" s="1039"/>
      <c r="U203" s="1039"/>
      <c r="V203" s="1039"/>
      <c r="W203" s="1039"/>
      <c r="X203" s="1039"/>
      <c r="Y203" s="1039"/>
      <c r="Z203" s="1039"/>
      <c r="AA203" s="1039"/>
      <c r="AB203" s="1039"/>
      <c r="AC203" s="1039"/>
      <c r="AD203" s="1039"/>
      <c r="AE203" s="1039"/>
      <c r="AF203" s="1039"/>
      <c r="CT203" s="753"/>
      <c r="CU203" s="753"/>
      <c r="CV203" s="753"/>
      <c r="CW203" s="753"/>
      <c r="CX203" s="753"/>
      <c r="CY203" s="753"/>
      <c r="CZ203" s="753"/>
      <c r="DA203" s="753"/>
      <c r="DB203" s="753"/>
      <c r="DC203" s="753"/>
      <c r="DD203" s="753"/>
      <c r="DE203" s="753"/>
      <c r="DF203" s="753"/>
      <c r="DG203" s="753"/>
      <c r="DH203" s="753"/>
      <c r="DI203" s="753"/>
      <c r="DJ203" s="753"/>
      <c r="DK203" s="753"/>
      <c r="DL203" s="753"/>
      <c r="DM203" s="753"/>
      <c r="DN203" s="753"/>
      <c r="DO203" s="753"/>
      <c r="DP203" s="753"/>
      <c r="DQ203" s="753"/>
      <c r="DR203" s="753"/>
      <c r="DS203" s="776"/>
    </row>
    <row r="204" spans="1:123" s="758" customFormat="1">
      <c r="A204" s="784"/>
      <c r="B204" s="800"/>
      <c r="C204" s="804"/>
      <c r="D204" s="805"/>
      <c r="E204" s="802"/>
      <c r="F204" s="780"/>
      <c r="G204" s="780"/>
      <c r="H204" s="780"/>
      <c r="I204" s="780"/>
      <c r="J204" s="1063"/>
      <c r="K204" s="1063"/>
      <c r="L204" s="1063"/>
      <c r="M204" s="1081"/>
      <c r="N204" s="1083"/>
      <c r="O204" s="1130"/>
      <c r="P204" s="1130"/>
      <c r="Q204" s="1039"/>
      <c r="R204" s="1039"/>
      <c r="S204" s="1039"/>
      <c r="T204" s="1039"/>
      <c r="U204" s="1039"/>
      <c r="V204" s="1039"/>
      <c r="W204" s="1039"/>
      <c r="X204" s="1039"/>
      <c r="Y204" s="1039"/>
      <c r="Z204" s="1039"/>
      <c r="AA204" s="1039"/>
      <c r="AB204" s="1039"/>
      <c r="AC204" s="1039"/>
      <c r="AD204" s="1039"/>
      <c r="AE204" s="1039"/>
      <c r="AF204" s="1039"/>
      <c r="CT204" s="753"/>
      <c r="CU204" s="753"/>
      <c r="CV204" s="753"/>
      <c r="CW204" s="753"/>
      <c r="CX204" s="753"/>
      <c r="CY204" s="753"/>
      <c r="CZ204" s="753"/>
      <c r="DA204" s="753"/>
      <c r="DB204" s="753"/>
      <c r="DC204" s="753"/>
      <c r="DD204" s="753"/>
      <c r="DE204" s="753"/>
      <c r="DF204" s="753"/>
      <c r="DG204" s="753"/>
      <c r="DH204" s="753"/>
      <c r="DI204" s="753"/>
      <c r="DJ204" s="753"/>
      <c r="DK204" s="753"/>
      <c r="DL204" s="753"/>
      <c r="DM204" s="753"/>
      <c r="DN204" s="753"/>
      <c r="DO204" s="753"/>
      <c r="DP204" s="753"/>
      <c r="DQ204" s="753"/>
      <c r="DR204" s="753"/>
      <c r="DS204" s="776"/>
    </row>
    <row r="205" spans="1:123" s="758" customFormat="1">
      <c r="A205" s="798"/>
      <c r="B205" s="800"/>
      <c r="C205" s="780"/>
      <c r="D205" s="804"/>
      <c r="E205" s="780"/>
      <c r="F205" s="780"/>
      <c r="G205" s="780"/>
      <c r="H205" s="780"/>
      <c r="I205" s="780"/>
      <c r="J205" s="1063"/>
      <c r="K205" s="1063"/>
      <c r="L205" s="1063"/>
      <c r="M205" s="1081"/>
      <c r="N205" s="1137"/>
      <c r="O205" s="1130"/>
      <c r="P205" s="1130"/>
      <c r="Q205" s="1039"/>
      <c r="R205" s="1039"/>
      <c r="S205" s="1039"/>
      <c r="T205" s="1039"/>
      <c r="U205" s="1039"/>
      <c r="V205" s="1039"/>
      <c r="W205" s="1039"/>
      <c r="X205" s="1039"/>
      <c r="Y205" s="1039"/>
      <c r="Z205" s="1039"/>
      <c r="AA205" s="1039"/>
      <c r="AB205" s="1039"/>
      <c r="AC205" s="1039"/>
      <c r="AD205" s="1039"/>
      <c r="AE205" s="1039"/>
      <c r="AF205" s="1039"/>
      <c r="CT205" s="753"/>
      <c r="CU205" s="753"/>
      <c r="CV205" s="753"/>
      <c r="CW205" s="753"/>
      <c r="CX205" s="753"/>
      <c r="CY205" s="753"/>
      <c r="CZ205" s="753"/>
      <c r="DA205" s="753"/>
      <c r="DB205" s="753"/>
      <c r="DC205" s="753"/>
      <c r="DD205" s="753"/>
      <c r="DE205" s="753"/>
      <c r="DF205" s="753"/>
      <c r="DG205" s="753"/>
      <c r="DH205" s="753"/>
      <c r="DI205" s="753"/>
      <c r="DJ205" s="753"/>
      <c r="DK205" s="753"/>
      <c r="DL205" s="753"/>
      <c r="DM205" s="753"/>
      <c r="DN205" s="753"/>
      <c r="DO205" s="753"/>
      <c r="DP205" s="753"/>
      <c r="DQ205" s="753"/>
      <c r="DR205" s="753"/>
      <c r="DS205" s="776"/>
    </row>
    <row r="206" spans="1:123" s="758" customFormat="1">
      <c r="A206" s="798"/>
      <c r="B206" s="800"/>
      <c r="C206" s="780"/>
      <c r="D206" s="780"/>
      <c r="E206" s="780"/>
      <c r="F206" s="780"/>
      <c r="G206" s="801"/>
      <c r="H206" s="780"/>
      <c r="I206" s="780"/>
      <c r="J206" s="1063"/>
      <c r="K206" s="1063"/>
      <c r="L206" s="1063"/>
      <c r="M206" s="782"/>
      <c r="N206" s="1137"/>
      <c r="O206" s="1130"/>
      <c r="P206" s="783"/>
      <c r="Q206" s="1039"/>
      <c r="R206" s="1039"/>
      <c r="S206" s="1039"/>
      <c r="T206" s="1039"/>
      <c r="U206" s="1039"/>
      <c r="V206" s="1039"/>
      <c r="W206" s="1039"/>
      <c r="X206" s="1039"/>
      <c r="Y206" s="1039"/>
      <c r="Z206" s="1039"/>
      <c r="AA206" s="1039"/>
      <c r="AB206" s="1039"/>
      <c r="AC206" s="1039"/>
      <c r="AD206" s="1039"/>
      <c r="AE206" s="1039"/>
      <c r="AF206" s="1039"/>
      <c r="CT206" s="753"/>
      <c r="CU206" s="753"/>
      <c r="CV206" s="753"/>
      <c r="CW206" s="753"/>
      <c r="CX206" s="753"/>
      <c r="CY206" s="753"/>
      <c r="CZ206" s="753"/>
      <c r="DA206" s="753"/>
      <c r="DB206" s="753"/>
      <c r="DC206" s="753"/>
      <c r="DD206" s="753"/>
      <c r="DE206" s="753"/>
      <c r="DF206" s="753"/>
      <c r="DG206" s="753"/>
      <c r="DH206" s="753"/>
      <c r="DI206" s="753"/>
      <c r="DJ206" s="753"/>
      <c r="DK206" s="753"/>
      <c r="DL206" s="753"/>
      <c r="DM206" s="753"/>
      <c r="DN206" s="753"/>
      <c r="DO206" s="753"/>
      <c r="DP206" s="753"/>
      <c r="DQ206" s="753"/>
      <c r="DR206" s="753"/>
      <c r="DS206" s="776"/>
    </row>
    <row r="207" spans="1:123" s="758" customFormat="1">
      <c r="A207" s="784"/>
      <c r="B207" s="800"/>
      <c r="C207" s="804"/>
      <c r="D207" s="773"/>
      <c r="E207" s="773"/>
      <c r="F207" s="773"/>
      <c r="G207" s="773"/>
      <c r="H207" s="773"/>
      <c r="I207" s="773"/>
      <c r="J207" s="1063"/>
      <c r="K207" s="1063"/>
      <c r="L207" s="1063"/>
      <c r="M207" s="782"/>
      <c r="N207" s="1137"/>
      <c r="O207" s="1130"/>
      <c r="P207" s="783"/>
      <c r="Q207" s="1039"/>
      <c r="R207" s="1039"/>
      <c r="S207" s="1039"/>
      <c r="T207" s="1039"/>
      <c r="U207" s="1039"/>
      <c r="V207" s="1039"/>
      <c r="W207" s="1039"/>
      <c r="X207" s="1039"/>
      <c r="Y207" s="1039"/>
      <c r="Z207" s="1039"/>
      <c r="AA207" s="1039"/>
      <c r="AB207" s="1039"/>
      <c r="AC207" s="1039"/>
      <c r="AD207" s="1039"/>
      <c r="AE207" s="1039"/>
      <c r="AF207" s="1039"/>
      <c r="CT207" s="753"/>
      <c r="CU207" s="753"/>
      <c r="CV207" s="753"/>
      <c r="CW207" s="753"/>
      <c r="CX207" s="753"/>
      <c r="CY207" s="753"/>
      <c r="CZ207" s="753"/>
      <c r="DA207" s="753"/>
      <c r="DB207" s="753"/>
      <c r="DC207" s="753"/>
      <c r="DD207" s="753"/>
      <c r="DE207" s="753"/>
      <c r="DF207" s="753"/>
      <c r="DG207" s="753"/>
      <c r="DH207" s="753"/>
      <c r="DI207" s="753"/>
      <c r="DJ207" s="753"/>
      <c r="DK207" s="753"/>
      <c r="DL207" s="753"/>
      <c r="DM207" s="753"/>
      <c r="DN207" s="753"/>
      <c r="DO207" s="753"/>
      <c r="DP207" s="753"/>
      <c r="DQ207" s="753"/>
      <c r="DR207" s="753"/>
      <c r="DS207" s="776"/>
    </row>
    <row r="208" spans="1:123" s="758" customFormat="1">
      <c r="A208" s="784"/>
      <c r="B208" s="769"/>
      <c r="C208" s="773"/>
      <c r="D208" s="804"/>
      <c r="E208" s="773"/>
      <c r="F208" s="773"/>
      <c r="G208" s="773"/>
      <c r="H208" s="773"/>
      <c r="I208" s="773"/>
      <c r="J208" s="1063"/>
      <c r="K208" s="1063"/>
      <c r="L208" s="1063"/>
      <c r="M208" s="1063"/>
      <c r="N208" s="1039"/>
      <c r="O208" s="1039"/>
      <c r="P208" s="1130"/>
      <c r="Q208" s="1039"/>
      <c r="R208" s="1039"/>
      <c r="S208" s="1039"/>
      <c r="T208" s="1039"/>
      <c r="U208" s="1039"/>
      <c r="V208" s="1039"/>
      <c r="W208" s="1039"/>
      <c r="X208" s="1039"/>
      <c r="Y208" s="1039"/>
      <c r="Z208" s="1039"/>
      <c r="AA208" s="1039"/>
      <c r="AB208" s="1039"/>
      <c r="AC208" s="1039"/>
      <c r="AD208" s="1039"/>
      <c r="AE208" s="1039"/>
      <c r="AF208" s="1039"/>
      <c r="CT208" s="753"/>
      <c r="CU208" s="753"/>
      <c r="CV208" s="753"/>
      <c r="CW208" s="753"/>
      <c r="CX208" s="753"/>
      <c r="CY208" s="753"/>
      <c r="CZ208" s="753"/>
      <c r="DA208" s="753"/>
      <c r="DB208" s="753"/>
      <c r="DC208" s="753"/>
      <c r="DD208" s="753"/>
      <c r="DE208" s="753"/>
      <c r="DF208" s="753"/>
      <c r="DG208" s="753"/>
      <c r="DH208" s="753"/>
      <c r="DI208" s="753"/>
      <c r="DJ208" s="753"/>
      <c r="DK208" s="753"/>
      <c r="DL208" s="753"/>
      <c r="DM208" s="753"/>
      <c r="DN208" s="753"/>
      <c r="DO208" s="753"/>
      <c r="DP208" s="753"/>
      <c r="DQ208" s="753"/>
      <c r="DR208" s="753"/>
      <c r="DS208" s="776"/>
    </row>
    <row r="209" spans="1:123" s="758" customFormat="1">
      <c r="A209" s="773"/>
      <c r="B209" s="780"/>
      <c r="C209" s="773"/>
      <c r="D209" s="804"/>
      <c r="E209" s="773"/>
      <c r="F209" s="773"/>
      <c r="G209" s="773"/>
      <c r="H209" s="780"/>
      <c r="I209" s="773"/>
      <c r="J209" s="1063"/>
      <c r="K209" s="1063"/>
      <c r="L209" s="1063"/>
      <c r="M209" s="1081"/>
      <c r="N209" s="1083"/>
      <c r="O209" s="1130"/>
      <c r="P209" s="1130"/>
      <c r="Q209" s="1039"/>
      <c r="R209" s="1039"/>
      <c r="S209" s="1039"/>
      <c r="T209" s="1039"/>
      <c r="U209" s="1039"/>
      <c r="V209" s="1039"/>
      <c r="W209" s="1039"/>
      <c r="X209" s="1039"/>
      <c r="Y209" s="1039"/>
      <c r="Z209" s="1039"/>
      <c r="AA209" s="1039"/>
      <c r="AB209" s="1039"/>
      <c r="AC209" s="1039"/>
      <c r="AD209" s="1039"/>
      <c r="AE209" s="1039"/>
      <c r="AF209" s="1039"/>
      <c r="CT209" s="753"/>
      <c r="CU209" s="753"/>
      <c r="CV209" s="753"/>
      <c r="CW209" s="753"/>
      <c r="CX209" s="753"/>
      <c r="CY209" s="753"/>
      <c r="CZ209" s="753"/>
      <c r="DA209" s="753"/>
      <c r="DB209" s="753"/>
      <c r="DC209" s="753"/>
      <c r="DD209" s="753"/>
      <c r="DE209" s="753"/>
      <c r="DF209" s="753"/>
      <c r="DG209" s="753"/>
      <c r="DH209" s="753"/>
      <c r="DI209" s="753"/>
      <c r="DJ209" s="753"/>
      <c r="DK209" s="753"/>
      <c r="DL209" s="753"/>
      <c r="DM209" s="753"/>
      <c r="DN209" s="753"/>
      <c r="DO209" s="753"/>
      <c r="DP209" s="753"/>
      <c r="DQ209" s="753"/>
      <c r="DR209" s="753"/>
      <c r="DS209" s="776"/>
    </row>
    <row r="210" spans="1:123" s="758" customFormat="1">
      <c r="A210" s="780"/>
      <c r="B210" s="780"/>
      <c r="C210" s="780"/>
      <c r="D210" s="780"/>
      <c r="E210" s="780"/>
      <c r="F210" s="780"/>
      <c r="G210" s="780"/>
      <c r="H210" s="801"/>
      <c r="I210" s="773"/>
      <c r="J210" s="1063"/>
      <c r="K210" s="1063"/>
      <c r="L210" s="1063"/>
      <c r="M210" s="1081"/>
      <c r="N210" s="1083"/>
      <c r="O210" s="1130"/>
      <c r="P210" s="1130"/>
      <c r="Q210" s="1039"/>
      <c r="R210" s="1039"/>
      <c r="S210" s="1039"/>
      <c r="T210" s="1039"/>
      <c r="U210" s="1039"/>
      <c r="V210" s="1039"/>
      <c r="W210" s="1039"/>
      <c r="X210" s="1039"/>
      <c r="Y210" s="1039"/>
      <c r="Z210" s="1039"/>
      <c r="AA210" s="1039"/>
      <c r="AB210" s="1039"/>
      <c r="AC210" s="1039"/>
      <c r="AD210" s="1039"/>
      <c r="AE210" s="1039"/>
      <c r="AF210" s="1039"/>
      <c r="CT210" s="753"/>
      <c r="CU210" s="753"/>
      <c r="CV210" s="753"/>
      <c r="CW210" s="753"/>
      <c r="CX210" s="753"/>
      <c r="CY210" s="753"/>
      <c r="CZ210" s="753"/>
      <c r="DA210" s="753"/>
      <c r="DB210" s="753"/>
      <c r="DC210" s="753"/>
      <c r="DD210" s="753"/>
      <c r="DE210" s="753"/>
      <c r="DF210" s="753"/>
      <c r="DG210" s="753"/>
      <c r="DH210" s="753"/>
      <c r="DI210" s="753"/>
      <c r="DJ210" s="753"/>
      <c r="DK210" s="753"/>
      <c r="DL210" s="753"/>
      <c r="DM210" s="753"/>
      <c r="DN210" s="753"/>
      <c r="DO210" s="753"/>
      <c r="DP210" s="753"/>
      <c r="DQ210" s="753"/>
      <c r="DR210" s="753"/>
      <c r="DS210" s="776"/>
    </row>
    <row r="211" spans="1:123" s="758" customFormat="1">
      <c r="A211" s="780"/>
      <c r="B211" s="780"/>
      <c r="C211" s="780"/>
      <c r="D211" s="780"/>
      <c r="E211" s="780"/>
      <c r="F211" s="780"/>
      <c r="G211" s="780"/>
      <c r="H211" s="801"/>
      <c r="I211" s="773"/>
      <c r="J211" s="1063"/>
      <c r="K211" s="1063"/>
      <c r="L211" s="1063"/>
      <c r="M211" s="1081"/>
      <c r="N211" s="1083"/>
      <c r="O211" s="1130"/>
      <c r="P211" s="1130"/>
      <c r="Q211" s="1039"/>
      <c r="R211" s="1039"/>
      <c r="S211" s="1039"/>
      <c r="T211" s="1039"/>
      <c r="U211" s="1039"/>
      <c r="V211" s="1039"/>
      <c r="W211" s="1039"/>
      <c r="X211" s="1039"/>
      <c r="Y211" s="1039"/>
      <c r="Z211" s="1039"/>
      <c r="AA211" s="1039"/>
      <c r="AB211" s="1039"/>
      <c r="AC211" s="1039"/>
      <c r="AD211" s="1039"/>
      <c r="AE211" s="1039"/>
      <c r="AF211" s="1039"/>
      <c r="CT211" s="753"/>
      <c r="CU211" s="753"/>
      <c r="CV211" s="753"/>
      <c r="CW211" s="753"/>
      <c r="CX211" s="753"/>
      <c r="CY211" s="753"/>
      <c r="CZ211" s="753"/>
      <c r="DA211" s="753"/>
      <c r="DB211" s="753"/>
      <c r="DC211" s="753"/>
      <c r="DD211" s="753"/>
      <c r="DE211" s="753"/>
      <c r="DF211" s="753"/>
      <c r="DG211" s="753"/>
      <c r="DH211" s="753"/>
      <c r="DI211" s="753"/>
      <c r="DJ211" s="753"/>
      <c r="DK211" s="753"/>
      <c r="DL211" s="753"/>
      <c r="DM211" s="753"/>
      <c r="DN211" s="753"/>
      <c r="DO211" s="753"/>
      <c r="DP211" s="753"/>
      <c r="DQ211" s="753"/>
      <c r="DR211" s="753"/>
      <c r="DS211" s="776"/>
    </row>
    <row r="212" spans="1:123" s="758" customFormat="1">
      <c r="A212" s="780"/>
      <c r="B212" s="780"/>
      <c r="C212" s="780"/>
      <c r="D212" s="780"/>
      <c r="E212" s="780"/>
      <c r="F212" s="780"/>
      <c r="G212" s="780"/>
      <c r="H212" s="801"/>
      <c r="I212" s="773"/>
      <c r="J212" s="1063"/>
      <c r="K212" s="1063"/>
      <c r="L212" s="1063"/>
      <c r="M212" s="1081"/>
      <c r="N212" s="1083"/>
      <c r="O212" s="1130"/>
      <c r="P212" s="1130"/>
      <c r="Q212" s="1039"/>
      <c r="R212" s="1039"/>
      <c r="S212" s="1039"/>
      <c r="T212" s="1039"/>
      <c r="U212" s="1039"/>
      <c r="V212" s="1039"/>
      <c r="W212" s="1039"/>
      <c r="X212" s="1039"/>
      <c r="Y212" s="1039"/>
      <c r="Z212" s="1039"/>
      <c r="AA212" s="1039"/>
      <c r="AB212" s="1039"/>
      <c r="AC212" s="1039"/>
      <c r="AD212" s="1039"/>
      <c r="AE212" s="1039"/>
      <c r="AF212" s="1039"/>
      <c r="CT212" s="753"/>
      <c r="CU212" s="753"/>
      <c r="CV212" s="753"/>
      <c r="CW212" s="753"/>
      <c r="CX212" s="753"/>
      <c r="CY212" s="753"/>
      <c r="CZ212" s="753"/>
      <c r="DA212" s="753"/>
      <c r="DB212" s="753"/>
      <c r="DC212" s="753"/>
      <c r="DD212" s="753"/>
      <c r="DE212" s="753"/>
      <c r="DF212" s="753"/>
      <c r="DG212" s="753"/>
      <c r="DH212" s="753"/>
      <c r="DI212" s="753"/>
      <c r="DJ212" s="753"/>
      <c r="DK212" s="753"/>
      <c r="DL212" s="753"/>
      <c r="DM212" s="753"/>
      <c r="DN212" s="753"/>
      <c r="DO212" s="753"/>
      <c r="DP212" s="753"/>
      <c r="DQ212" s="753"/>
      <c r="DR212" s="753"/>
      <c r="DS212" s="776"/>
    </row>
    <row r="213" spans="1:123" s="758" customFormat="1">
      <c r="A213" s="780"/>
      <c r="B213" s="780"/>
      <c r="C213" s="780"/>
      <c r="D213" s="780"/>
      <c r="E213" s="780"/>
      <c r="F213" s="780"/>
      <c r="G213" s="780"/>
      <c r="H213" s="801"/>
      <c r="I213" s="773"/>
      <c r="J213" s="1063"/>
      <c r="K213" s="1063"/>
      <c r="L213" s="1063"/>
      <c r="M213" s="1081"/>
      <c r="N213" s="1083"/>
      <c r="O213" s="1130"/>
      <c r="P213" s="1130"/>
      <c r="Q213" s="1039"/>
      <c r="R213" s="1039"/>
      <c r="S213" s="1039"/>
      <c r="T213" s="1039"/>
      <c r="U213" s="1039"/>
      <c r="V213" s="1039"/>
      <c r="W213" s="1039"/>
      <c r="X213" s="1039"/>
      <c r="Y213" s="1039"/>
      <c r="Z213" s="1039"/>
      <c r="AA213" s="1039"/>
      <c r="AB213" s="1039"/>
      <c r="AC213" s="1039"/>
      <c r="AD213" s="1039"/>
      <c r="AE213" s="1039"/>
      <c r="AF213" s="1039"/>
      <c r="CT213" s="753"/>
      <c r="CU213" s="753"/>
      <c r="CV213" s="753"/>
      <c r="CW213" s="753"/>
      <c r="CX213" s="753"/>
      <c r="CY213" s="753"/>
      <c r="CZ213" s="753"/>
      <c r="DA213" s="753"/>
      <c r="DB213" s="753"/>
      <c r="DC213" s="753"/>
      <c r="DD213" s="753"/>
      <c r="DE213" s="753"/>
      <c r="DF213" s="753"/>
      <c r="DG213" s="753"/>
      <c r="DH213" s="753"/>
      <c r="DI213" s="753"/>
      <c r="DJ213" s="753"/>
      <c r="DK213" s="753"/>
      <c r="DL213" s="753"/>
      <c r="DM213" s="753"/>
      <c r="DN213" s="753"/>
      <c r="DO213" s="753"/>
      <c r="DP213" s="753"/>
      <c r="DQ213" s="753"/>
      <c r="DR213" s="753"/>
      <c r="DS213" s="776"/>
    </row>
    <row r="214" spans="1:123" s="758" customFormat="1">
      <c r="A214" s="780"/>
      <c r="B214" s="780"/>
      <c r="C214" s="780"/>
      <c r="D214" s="780"/>
      <c r="E214" s="773"/>
      <c r="F214" s="773"/>
      <c r="G214" s="773"/>
      <c r="H214" s="788"/>
      <c r="I214" s="764"/>
      <c r="J214" s="1063"/>
      <c r="K214" s="1063"/>
      <c r="L214" s="1063"/>
      <c r="M214" s="1063"/>
      <c r="N214" s="1039"/>
      <c r="O214" s="1039"/>
      <c r="P214" s="1130"/>
      <c r="Q214" s="1039"/>
      <c r="R214" s="1039"/>
      <c r="S214" s="1039"/>
      <c r="T214" s="1039"/>
      <c r="U214" s="1039"/>
      <c r="V214" s="1039"/>
      <c r="W214" s="1039"/>
      <c r="X214" s="1039"/>
      <c r="Y214" s="1039"/>
      <c r="Z214" s="1039"/>
      <c r="AA214" s="1039"/>
      <c r="AB214" s="1039"/>
      <c r="AC214" s="1039"/>
      <c r="AD214" s="1039"/>
      <c r="AE214" s="1039"/>
      <c r="AF214" s="1039"/>
      <c r="CT214" s="753"/>
      <c r="CU214" s="753"/>
      <c r="CV214" s="753"/>
      <c r="CW214" s="753"/>
      <c r="CX214" s="753"/>
      <c r="CY214" s="753"/>
      <c r="CZ214" s="753"/>
      <c r="DA214" s="753"/>
      <c r="DB214" s="753"/>
      <c r="DC214" s="753"/>
      <c r="DD214" s="753"/>
      <c r="DE214" s="753"/>
      <c r="DF214" s="753"/>
      <c r="DG214" s="753"/>
      <c r="DH214" s="753"/>
      <c r="DI214" s="753"/>
      <c r="DJ214" s="753"/>
      <c r="DK214" s="753"/>
      <c r="DL214" s="753"/>
      <c r="DM214" s="753"/>
      <c r="DN214" s="753"/>
      <c r="DO214" s="753"/>
      <c r="DP214" s="753"/>
      <c r="DQ214" s="753"/>
      <c r="DR214" s="753"/>
      <c r="DS214" s="776"/>
    </row>
    <row r="215" spans="1:123" s="758" customFormat="1">
      <c r="A215" s="780"/>
      <c r="B215" s="780"/>
      <c r="C215" s="780"/>
      <c r="D215" s="780"/>
      <c r="E215" s="780"/>
      <c r="F215" s="780"/>
      <c r="G215" s="780"/>
      <c r="H215" s="788"/>
      <c r="I215" s="789"/>
      <c r="J215" s="1063"/>
      <c r="K215" s="1063"/>
      <c r="L215" s="1063"/>
      <c r="M215" s="1081"/>
      <c r="N215" s="1090"/>
      <c r="O215" s="1130"/>
      <c r="P215" s="1130"/>
      <c r="Q215" s="1039"/>
      <c r="R215" s="1039"/>
      <c r="S215" s="1039"/>
      <c r="T215" s="1039"/>
      <c r="U215" s="1039"/>
      <c r="V215" s="1039"/>
      <c r="W215" s="1039"/>
      <c r="X215" s="1039"/>
      <c r="Y215" s="1039"/>
      <c r="Z215" s="1039"/>
      <c r="AA215" s="1039"/>
      <c r="AB215" s="1039"/>
      <c r="AC215" s="1039"/>
      <c r="AD215" s="1039"/>
      <c r="AE215" s="1039"/>
      <c r="AF215" s="1039"/>
      <c r="CT215" s="753"/>
      <c r="CU215" s="753"/>
      <c r="CV215" s="753"/>
      <c r="CW215" s="753"/>
      <c r="CX215" s="753"/>
      <c r="CY215" s="753"/>
      <c r="CZ215" s="753"/>
      <c r="DA215" s="753"/>
      <c r="DB215" s="753"/>
      <c r="DC215" s="753"/>
      <c r="DD215" s="753"/>
      <c r="DE215" s="753"/>
      <c r="DF215" s="753"/>
      <c r="DG215" s="753"/>
      <c r="DH215" s="753"/>
      <c r="DI215" s="753"/>
      <c r="DJ215" s="753"/>
      <c r="DK215" s="753"/>
      <c r="DL215" s="753"/>
      <c r="DM215" s="753"/>
      <c r="DN215" s="753"/>
      <c r="DO215" s="753"/>
      <c r="DP215" s="753"/>
      <c r="DQ215" s="753"/>
      <c r="DR215" s="753"/>
      <c r="DS215" s="776"/>
    </row>
    <row r="216" spans="1:123" s="758" customFormat="1">
      <c r="A216" s="820"/>
      <c r="B216" s="774"/>
      <c r="C216" s="780"/>
      <c r="D216" s="780"/>
      <c r="E216" s="780"/>
      <c r="F216" s="780"/>
      <c r="G216" s="780"/>
      <c r="H216" s="788"/>
      <c r="I216" s="790"/>
      <c r="J216" s="1063"/>
      <c r="K216" s="1063"/>
      <c r="L216" s="1063"/>
      <c r="M216" s="1081"/>
      <c r="N216" s="1090"/>
      <c r="O216" s="1130"/>
      <c r="P216" s="1130"/>
      <c r="Q216" s="1039"/>
      <c r="R216" s="1039"/>
      <c r="S216" s="1039"/>
      <c r="T216" s="1039"/>
      <c r="U216" s="1039"/>
      <c r="V216" s="1039"/>
      <c r="W216" s="1039"/>
      <c r="X216" s="1039"/>
      <c r="Y216" s="1039"/>
      <c r="Z216" s="1039"/>
      <c r="AA216" s="1039"/>
      <c r="AB216" s="1039"/>
      <c r="AC216" s="1039"/>
      <c r="AD216" s="1039"/>
      <c r="AE216" s="1039"/>
      <c r="AF216" s="1039"/>
      <c r="CT216" s="753"/>
      <c r="CU216" s="753"/>
      <c r="CV216" s="753"/>
      <c r="CW216" s="753"/>
      <c r="CX216" s="753"/>
      <c r="CY216" s="753"/>
      <c r="CZ216" s="753"/>
      <c r="DA216" s="753"/>
      <c r="DB216" s="753"/>
      <c r="DC216" s="753"/>
      <c r="DD216" s="753"/>
      <c r="DE216" s="753"/>
      <c r="DF216" s="753"/>
      <c r="DG216" s="753"/>
      <c r="DH216" s="753"/>
      <c r="DI216" s="753"/>
      <c r="DJ216" s="753"/>
      <c r="DK216" s="753"/>
      <c r="DL216" s="753"/>
      <c r="DM216" s="753"/>
      <c r="DN216" s="753"/>
      <c r="DO216" s="753"/>
      <c r="DP216" s="753"/>
      <c r="DQ216" s="753"/>
      <c r="DR216" s="753"/>
      <c r="DS216" s="776"/>
    </row>
    <row r="217" spans="1:123" s="758" customFormat="1">
      <c r="A217" s="784"/>
      <c r="B217" s="774"/>
      <c r="C217" s="804"/>
      <c r="D217" s="804"/>
      <c r="E217" s="780"/>
      <c r="F217" s="773"/>
      <c r="G217" s="780"/>
      <c r="H217" s="788"/>
      <c r="I217" s="769"/>
      <c r="J217" s="1063"/>
      <c r="K217" s="1063"/>
      <c r="L217" s="1063"/>
      <c r="M217" s="1081"/>
      <c r="N217" s="1083"/>
      <c r="O217" s="1130"/>
      <c r="P217" s="1130"/>
      <c r="Q217" s="1039"/>
      <c r="R217" s="1039"/>
      <c r="S217" s="1039"/>
      <c r="T217" s="1039"/>
      <c r="U217" s="1039"/>
      <c r="V217" s="1039"/>
      <c r="W217" s="1039"/>
      <c r="X217" s="1039"/>
      <c r="Y217" s="1039"/>
      <c r="Z217" s="1039"/>
      <c r="AA217" s="1039"/>
      <c r="AB217" s="1039"/>
      <c r="AC217" s="1039"/>
      <c r="AD217" s="1039"/>
      <c r="AE217" s="1039"/>
      <c r="AF217" s="1039"/>
      <c r="CT217" s="753"/>
      <c r="CU217" s="753"/>
      <c r="CV217" s="753"/>
      <c r="CW217" s="753"/>
      <c r="CX217" s="753"/>
      <c r="CY217" s="753"/>
      <c r="CZ217" s="753"/>
      <c r="DA217" s="753"/>
      <c r="DB217" s="753"/>
      <c r="DC217" s="753"/>
      <c r="DD217" s="753"/>
      <c r="DE217" s="753"/>
      <c r="DF217" s="753"/>
      <c r="DG217" s="753"/>
      <c r="DH217" s="753"/>
      <c r="DI217" s="753"/>
      <c r="DJ217" s="753"/>
      <c r="DK217" s="753"/>
      <c r="DL217" s="753"/>
      <c r="DM217" s="753"/>
      <c r="DN217" s="753"/>
      <c r="DO217" s="753"/>
      <c r="DP217" s="753"/>
      <c r="DQ217" s="753"/>
      <c r="DR217" s="753"/>
      <c r="DS217" s="776"/>
    </row>
    <row r="218" spans="1:123" s="758" customFormat="1">
      <c r="A218" s="784"/>
      <c r="B218" s="774"/>
      <c r="C218" s="804"/>
      <c r="D218" s="804"/>
      <c r="E218" s="780"/>
      <c r="F218" s="773"/>
      <c r="G218" s="780"/>
      <c r="H218" s="788"/>
      <c r="I218" s="769"/>
      <c r="J218" s="1063"/>
      <c r="K218" s="1063"/>
      <c r="L218" s="1063"/>
      <c r="M218" s="1081"/>
      <c r="N218" s="1083"/>
      <c r="O218" s="1130"/>
      <c r="P218" s="1130"/>
      <c r="Q218" s="1039"/>
      <c r="R218" s="1039"/>
      <c r="S218" s="1039"/>
      <c r="T218" s="1039"/>
      <c r="U218" s="1039"/>
      <c r="V218" s="1039"/>
      <c r="W218" s="1039"/>
      <c r="X218" s="1039"/>
      <c r="Y218" s="1039"/>
      <c r="Z218" s="1039"/>
      <c r="AA218" s="1039"/>
      <c r="AB218" s="1039"/>
      <c r="AC218" s="1039"/>
      <c r="AD218" s="1039"/>
      <c r="AE218" s="1039"/>
      <c r="AF218" s="1039"/>
      <c r="CT218" s="753"/>
      <c r="CU218" s="753"/>
      <c r="CV218" s="753"/>
      <c r="CW218" s="753"/>
      <c r="CX218" s="753"/>
      <c r="CY218" s="753"/>
      <c r="CZ218" s="753"/>
      <c r="DA218" s="753"/>
      <c r="DB218" s="753"/>
      <c r="DC218" s="753"/>
      <c r="DD218" s="753"/>
      <c r="DE218" s="753"/>
      <c r="DF218" s="753"/>
      <c r="DG218" s="753"/>
      <c r="DH218" s="753"/>
      <c r="DI218" s="753"/>
      <c r="DJ218" s="753"/>
      <c r="DK218" s="753"/>
      <c r="DL218" s="753"/>
      <c r="DM218" s="753"/>
      <c r="DN218" s="753"/>
      <c r="DO218" s="753"/>
      <c r="DP218" s="753"/>
      <c r="DQ218" s="753"/>
      <c r="DR218" s="753"/>
      <c r="DS218" s="776"/>
    </row>
    <row r="219" spans="1:123" s="758" customFormat="1">
      <c r="A219" s="798"/>
      <c r="B219" s="774"/>
      <c r="C219" s="804"/>
      <c r="D219" s="804"/>
      <c r="E219" s="753"/>
      <c r="F219" s="753"/>
      <c r="G219" s="753"/>
      <c r="H219" s="780"/>
      <c r="I219" s="780"/>
      <c r="J219" s="1063"/>
      <c r="K219" s="1063"/>
      <c r="L219" s="1063"/>
      <c r="M219" s="1081"/>
      <c r="N219" s="1083"/>
      <c r="O219" s="1130"/>
      <c r="P219" s="1130"/>
      <c r="Q219" s="1039"/>
      <c r="R219" s="1039"/>
      <c r="S219" s="1039"/>
      <c r="T219" s="1039"/>
      <c r="U219" s="1039"/>
      <c r="V219" s="1039"/>
      <c r="W219" s="1039"/>
      <c r="X219" s="1039"/>
      <c r="Y219" s="1039"/>
      <c r="Z219" s="1039"/>
      <c r="AA219" s="1039"/>
      <c r="AB219" s="1039"/>
      <c r="AC219" s="1039"/>
      <c r="AD219" s="1039"/>
      <c r="AE219" s="1039"/>
      <c r="AF219" s="1039"/>
      <c r="CT219" s="753"/>
      <c r="CU219" s="753"/>
      <c r="CV219" s="753"/>
      <c r="CW219" s="753"/>
      <c r="CX219" s="753"/>
      <c r="CY219" s="753"/>
      <c r="CZ219" s="753"/>
      <c r="DA219" s="753"/>
      <c r="DB219" s="753"/>
      <c r="DC219" s="753"/>
      <c r="DD219" s="753"/>
      <c r="DE219" s="753"/>
      <c r="DF219" s="753"/>
      <c r="DG219" s="753"/>
      <c r="DH219" s="753"/>
      <c r="DI219" s="753"/>
      <c r="DJ219" s="753"/>
      <c r="DK219" s="753"/>
      <c r="DL219" s="753"/>
      <c r="DM219" s="753"/>
      <c r="DN219" s="753"/>
      <c r="DO219" s="753"/>
      <c r="DP219" s="753"/>
      <c r="DQ219" s="753"/>
      <c r="DR219" s="753"/>
      <c r="DS219" s="776"/>
    </row>
    <row r="220" spans="1:123" s="758" customFormat="1">
      <c r="A220" s="784"/>
      <c r="B220" s="774"/>
      <c r="C220" s="804"/>
      <c r="D220" s="804"/>
      <c r="E220" s="780"/>
      <c r="F220" s="780"/>
      <c r="G220" s="780"/>
      <c r="H220" s="780"/>
      <c r="I220" s="780"/>
      <c r="J220" s="1063"/>
      <c r="K220" s="1063"/>
      <c r="L220" s="1063"/>
      <c r="M220" s="1063"/>
      <c r="N220" s="1039"/>
      <c r="O220" s="1090"/>
      <c r="P220" s="1039"/>
      <c r="Q220" s="1039"/>
      <c r="R220" s="1039"/>
      <c r="S220" s="1039"/>
      <c r="T220" s="1039"/>
      <c r="U220" s="1039"/>
      <c r="V220" s="1039"/>
      <c r="W220" s="1039"/>
      <c r="X220" s="1039"/>
      <c r="Y220" s="1039"/>
      <c r="Z220" s="1039"/>
      <c r="AA220" s="1039"/>
      <c r="AB220" s="1039"/>
      <c r="AC220" s="1039"/>
      <c r="AD220" s="1039"/>
      <c r="AE220" s="1039"/>
      <c r="AF220" s="1039"/>
      <c r="CT220" s="753"/>
      <c r="CU220" s="753"/>
      <c r="CV220" s="753"/>
      <c r="CW220" s="753"/>
      <c r="CX220" s="753"/>
      <c r="CY220" s="753"/>
      <c r="CZ220" s="753"/>
      <c r="DA220" s="753"/>
      <c r="DB220" s="753"/>
      <c r="DC220" s="753"/>
      <c r="DD220" s="753"/>
      <c r="DE220" s="753"/>
      <c r="DF220" s="753"/>
      <c r="DG220" s="753"/>
      <c r="DH220" s="753"/>
      <c r="DI220" s="753"/>
      <c r="DJ220" s="753"/>
      <c r="DK220" s="753"/>
      <c r="DL220" s="753"/>
      <c r="DM220" s="753"/>
      <c r="DN220" s="753"/>
      <c r="DO220" s="753"/>
      <c r="DP220" s="753"/>
      <c r="DQ220" s="753"/>
      <c r="DR220" s="753"/>
      <c r="DS220" s="776"/>
    </row>
    <row r="221" spans="1:123" s="758" customFormat="1">
      <c r="A221" s="784"/>
      <c r="B221" s="774"/>
      <c r="C221" s="804"/>
      <c r="D221" s="804"/>
      <c r="E221" s="753"/>
      <c r="F221" s="753"/>
      <c r="G221" s="780"/>
      <c r="H221" s="821"/>
      <c r="I221" s="780"/>
      <c r="J221" s="1063"/>
      <c r="K221" s="1063"/>
      <c r="L221" s="1063"/>
      <c r="M221" s="1063"/>
      <c r="N221" s="1039"/>
      <c r="O221" s="1090"/>
      <c r="P221" s="1039"/>
      <c r="Q221" s="1039"/>
      <c r="R221" s="1039"/>
      <c r="S221" s="1039"/>
      <c r="T221" s="1039"/>
      <c r="U221" s="1039"/>
      <c r="V221" s="1039"/>
      <c r="W221" s="1039"/>
      <c r="X221" s="1039"/>
      <c r="Y221" s="1039"/>
      <c r="Z221" s="1039"/>
      <c r="AA221" s="1039"/>
      <c r="AB221" s="1039"/>
      <c r="AC221" s="1039"/>
      <c r="AD221" s="1039"/>
      <c r="AE221" s="1039"/>
      <c r="AF221" s="1039"/>
      <c r="CT221" s="753"/>
      <c r="CU221" s="753"/>
      <c r="CV221" s="753"/>
      <c r="CW221" s="753"/>
      <c r="CX221" s="753"/>
      <c r="CY221" s="753"/>
      <c r="CZ221" s="753"/>
      <c r="DA221" s="753"/>
      <c r="DB221" s="753"/>
      <c r="DC221" s="753"/>
      <c r="DD221" s="753"/>
      <c r="DE221" s="753"/>
      <c r="DF221" s="753"/>
      <c r="DG221" s="753"/>
      <c r="DH221" s="753"/>
      <c r="DI221" s="753"/>
      <c r="DJ221" s="753"/>
      <c r="DK221" s="753"/>
      <c r="DL221" s="753"/>
      <c r="DM221" s="753"/>
      <c r="DN221" s="753"/>
      <c r="DO221" s="753"/>
      <c r="DP221" s="753"/>
      <c r="DQ221" s="753"/>
      <c r="DR221" s="753"/>
      <c r="DS221" s="776"/>
    </row>
    <row r="222" spans="1:123" s="758" customFormat="1">
      <c r="A222" s="798"/>
      <c r="B222" s="774"/>
      <c r="C222" s="804"/>
      <c r="D222" s="804"/>
      <c r="E222" s="780"/>
      <c r="F222" s="780"/>
      <c r="G222" s="780"/>
      <c r="H222" s="780"/>
      <c r="I222" s="780"/>
      <c r="J222" s="1063"/>
      <c r="K222" s="1063"/>
      <c r="L222" s="1063"/>
      <c r="M222" s="1063"/>
      <c r="N222" s="1039"/>
      <c r="O222" s="1090"/>
      <c r="P222" s="1039"/>
      <c r="Q222" s="1039"/>
      <c r="R222" s="1039"/>
      <c r="S222" s="1039"/>
      <c r="T222" s="1039"/>
      <c r="U222" s="1039"/>
      <c r="V222" s="1039"/>
      <c r="W222" s="1039"/>
      <c r="X222" s="1039"/>
      <c r="Y222" s="1039"/>
      <c r="Z222" s="1039"/>
      <c r="AA222" s="1039"/>
      <c r="AB222" s="1039"/>
      <c r="AC222" s="1039"/>
      <c r="AD222" s="1039"/>
      <c r="AE222" s="1039"/>
      <c r="AF222" s="1039"/>
      <c r="CT222" s="753"/>
      <c r="CU222" s="753"/>
      <c r="CV222" s="753"/>
      <c r="CW222" s="753"/>
      <c r="CX222" s="753"/>
      <c r="CY222" s="753"/>
      <c r="CZ222" s="753"/>
      <c r="DA222" s="753"/>
      <c r="DB222" s="753"/>
      <c r="DC222" s="753"/>
      <c r="DD222" s="753"/>
      <c r="DE222" s="753"/>
      <c r="DF222" s="753"/>
      <c r="DG222" s="753"/>
      <c r="DH222" s="753"/>
      <c r="DI222" s="753"/>
      <c r="DJ222" s="753"/>
      <c r="DK222" s="753"/>
      <c r="DL222" s="753"/>
      <c r="DM222" s="753"/>
      <c r="DN222" s="753"/>
      <c r="DO222" s="753"/>
      <c r="DP222" s="753"/>
      <c r="DQ222" s="753"/>
      <c r="DR222" s="753"/>
      <c r="DS222" s="776"/>
    </row>
    <row r="223" spans="1:123" s="758" customFormat="1">
      <c r="A223" s="798"/>
      <c r="B223" s="774"/>
      <c r="C223" s="804"/>
      <c r="D223" s="773"/>
      <c r="E223" s="780"/>
      <c r="F223" s="780"/>
      <c r="G223" s="780"/>
      <c r="H223" s="780"/>
      <c r="I223" s="780"/>
      <c r="J223" s="1063"/>
      <c r="K223" s="1063"/>
      <c r="L223" s="1063"/>
      <c r="M223" s="1063"/>
      <c r="N223" s="1039"/>
      <c r="O223" s="1090"/>
      <c r="P223" s="1039"/>
      <c r="Q223" s="1039"/>
      <c r="R223" s="1039"/>
      <c r="S223" s="1039"/>
      <c r="T223" s="1039"/>
      <c r="U223" s="1039"/>
      <c r="V223" s="1039"/>
      <c r="W223" s="1039"/>
      <c r="X223" s="1039"/>
      <c r="Y223" s="1039"/>
      <c r="Z223" s="1039"/>
      <c r="AA223" s="1039"/>
      <c r="AB223" s="1039"/>
      <c r="AC223" s="1039"/>
      <c r="AD223" s="1039"/>
      <c r="AE223" s="1039"/>
      <c r="AF223" s="1039"/>
      <c r="CT223" s="753"/>
      <c r="CU223" s="753"/>
      <c r="CV223" s="753"/>
      <c r="CW223" s="753"/>
      <c r="CX223" s="753"/>
      <c r="CY223" s="753"/>
      <c r="CZ223" s="753"/>
      <c r="DA223" s="753"/>
      <c r="DB223" s="753"/>
      <c r="DC223" s="753"/>
      <c r="DD223" s="753"/>
      <c r="DE223" s="753"/>
      <c r="DF223" s="753"/>
      <c r="DG223" s="753"/>
      <c r="DH223" s="753"/>
      <c r="DI223" s="753"/>
      <c r="DJ223" s="753"/>
      <c r="DK223" s="753"/>
      <c r="DL223" s="753"/>
      <c r="DM223" s="753"/>
      <c r="DN223" s="753"/>
      <c r="DO223" s="753"/>
      <c r="DP223" s="753"/>
      <c r="DQ223" s="753"/>
      <c r="DR223" s="753"/>
      <c r="DS223" s="776"/>
    </row>
    <row r="224" spans="1:123" s="758" customFormat="1">
      <c r="A224" s="784"/>
      <c r="B224" s="773"/>
      <c r="C224" s="804"/>
      <c r="D224" s="804"/>
      <c r="E224" s="780"/>
      <c r="F224" s="780"/>
      <c r="G224" s="780"/>
      <c r="H224" s="821"/>
      <c r="I224" s="780"/>
      <c r="J224" s="1063"/>
      <c r="K224" s="1063"/>
      <c r="L224" s="1063"/>
      <c r="M224" s="1063"/>
      <c r="N224" s="1039"/>
      <c r="O224" s="1090"/>
      <c r="P224" s="1039"/>
      <c r="Q224" s="1039"/>
      <c r="R224" s="1039"/>
      <c r="S224" s="1039"/>
      <c r="T224" s="1039"/>
      <c r="U224" s="1039"/>
      <c r="V224" s="1039"/>
      <c r="W224" s="1039"/>
      <c r="X224" s="1039"/>
      <c r="Y224" s="1039"/>
      <c r="Z224" s="1039"/>
      <c r="AA224" s="1039"/>
      <c r="AB224" s="1039"/>
      <c r="AC224" s="1039"/>
      <c r="AD224" s="1039"/>
      <c r="AE224" s="1039"/>
      <c r="AF224" s="1039"/>
      <c r="CT224" s="753"/>
      <c r="CU224" s="753"/>
      <c r="CV224" s="753"/>
      <c r="CW224" s="753"/>
      <c r="CX224" s="753"/>
      <c r="CY224" s="753"/>
      <c r="CZ224" s="753"/>
      <c r="DA224" s="753"/>
      <c r="DB224" s="753"/>
      <c r="DC224" s="753"/>
      <c r="DD224" s="753"/>
      <c r="DE224" s="753"/>
      <c r="DF224" s="753"/>
      <c r="DG224" s="753"/>
      <c r="DH224" s="753"/>
      <c r="DI224" s="753"/>
      <c r="DJ224" s="753"/>
      <c r="DK224" s="753"/>
      <c r="DL224" s="753"/>
      <c r="DM224" s="753"/>
      <c r="DN224" s="753"/>
      <c r="DO224" s="753"/>
      <c r="DP224" s="753"/>
      <c r="DQ224" s="753"/>
      <c r="DR224" s="753"/>
      <c r="DS224" s="776"/>
    </row>
    <row r="225" spans="1:123" s="758" customFormat="1">
      <c r="A225" s="804"/>
      <c r="B225" s="768"/>
      <c r="C225" s="773"/>
      <c r="D225" s="773"/>
      <c r="E225" s="773"/>
      <c r="F225" s="780"/>
      <c r="G225" s="780"/>
      <c r="H225" s="780"/>
      <c r="I225" s="780"/>
      <c r="J225" s="1063"/>
      <c r="K225" s="1063"/>
      <c r="L225" s="1063"/>
      <c r="M225" s="1063"/>
      <c r="N225" s="1039"/>
      <c r="O225" s="1090"/>
      <c r="P225" s="1039"/>
      <c r="Q225" s="1039"/>
      <c r="R225" s="1039"/>
      <c r="S225" s="1039"/>
      <c r="T225" s="1039"/>
      <c r="U225" s="1039"/>
      <c r="V225" s="1039"/>
      <c r="W225" s="1039"/>
      <c r="X225" s="1039"/>
      <c r="Y225" s="1039"/>
      <c r="Z225" s="1039"/>
      <c r="AA225" s="1039"/>
      <c r="AB225" s="1039"/>
      <c r="AC225" s="1039"/>
      <c r="AD225" s="1039"/>
      <c r="AE225" s="1039"/>
      <c r="AF225" s="1039"/>
      <c r="CT225" s="753"/>
      <c r="CU225" s="753"/>
      <c r="CV225" s="753"/>
      <c r="CW225" s="753"/>
      <c r="CX225" s="753"/>
      <c r="CY225" s="753"/>
      <c r="CZ225" s="753"/>
      <c r="DA225" s="753"/>
      <c r="DB225" s="753"/>
      <c r="DC225" s="753"/>
      <c r="DD225" s="753"/>
      <c r="DE225" s="753"/>
      <c r="DF225" s="753"/>
      <c r="DG225" s="753"/>
      <c r="DH225" s="753"/>
      <c r="DI225" s="753"/>
      <c r="DJ225" s="753"/>
      <c r="DK225" s="753"/>
      <c r="DL225" s="753"/>
      <c r="DM225" s="753"/>
      <c r="DN225" s="753"/>
      <c r="DO225" s="753"/>
      <c r="DP225" s="753"/>
      <c r="DQ225" s="753"/>
      <c r="DR225" s="753"/>
      <c r="DS225" s="776"/>
    </row>
    <row r="226" spans="1:123" s="758" customFormat="1">
      <c r="A226" s="784"/>
      <c r="B226" s="768"/>
      <c r="C226" s="804"/>
      <c r="D226" s="804"/>
      <c r="E226" s="773"/>
      <c r="F226" s="780"/>
      <c r="G226" s="780"/>
      <c r="H226" s="780"/>
      <c r="I226" s="780"/>
      <c r="J226" s="1063"/>
      <c r="K226" s="1063"/>
      <c r="L226" s="1063"/>
      <c r="M226" s="1063"/>
      <c r="N226" s="1039"/>
      <c r="O226" s="1090"/>
      <c r="P226" s="1039"/>
      <c r="Q226" s="1039"/>
      <c r="R226" s="1039"/>
      <c r="S226" s="1039"/>
      <c r="T226" s="1039"/>
      <c r="U226" s="1039"/>
      <c r="V226" s="1039"/>
      <c r="W226" s="1039"/>
      <c r="X226" s="1039"/>
      <c r="Y226" s="1039"/>
      <c r="Z226" s="1039"/>
      <c r="AA226" s="1039"/>
      <c r="AB226" s="1039"/>
      <c r="AC226" s="1039"/>
      <c r="AD226" s="1039"/>
      <c r="AE226" s="1039"/>
      <c r="AF226" s="1039"/>
      <c r="CT226" s="753"/>
      <c r="CU226" s="753"/>
      <c r="CV226" s="753"/>
      <c r="CW226" s="753"/>
      <c r="CX226" s="753"/>
      <c r="CY226" s="753"/>
      <c r="CZ226" s="753"/>
      <c r="DA226" s="753"/>
      <c r="DB226" s="753"/>
      <c r="DC226" s="753"/>
      <c r="DD226" s="753"/>
      <c r="DE226" s="753"/>
      <c r="DF226" s="753"/>
      <c r="DG226" s="753"/>
      <c r="DH226" s="753"/>
      <c r="DI226" s="753"/>
      <c r="DJ226" s="753"/>
      <c r="DK226" s="753"/>
      <c r="DL226" s="753"/>
      <c r="DM226" s="753"/>
      <c r="DN226" s="753"/>
      <c r="DO226" s="753"/>
      <c r="DP226" s="753"/>
      <c r="DQ226" s="753"/>
      <c r="DR226" s="753"/>
      <c r="DS226" s="776"/>
    </row>
    <row r="227" spans="1:123" s="758" customFormat="1">
      <c r="A227" s="784"/>
      <c r="B227" s="768"/>
      <c r="C227" s="804"/>
      <c r="D227" s="804"/>
      <c r="E227" s="773"/>
      <c r="F227" s="780"/>
      <c r="G227" s="780"/>
      <c r="H227" s="780"/>
      <c r="I227" s="780"/>
      <c r="J227" s="1063"/>
      <c r="K227" s="1063"/>
      <c r="L227" s="1063"/>
      <c r="M227" s="1063"/>
      <c r="N227" s="1039"/>
      <c r="O227" s="1090"/>
      <c r="P227" s="1039"/>
      <c r="Q227" s="1039"/>
      <c r="R227" s="1039"/>
      <c r="S227" s="1039"/>
      <c r="T227" s="1039"/>
      <c r="U227" s="1039"/>
      <c r="V227" s="1039"/>
      <c r="W227" s="1039"/>
      <c r="X227" s="1039"/>
      <c r="Y227" s="1039"/>
      <c r="Z227" s="1039"/>
      <c r="AA227" s="1039"/>
      <c r="AB227" s="1039"/>
      <c r="AC227" s="1039"/>
      <c r="AD227" s="1039"/>
      <c r="AE227" s="1039"/>
      <c r="AF227" s="1039"/>
      <c r="CT227" s="753"/>
      <c r="CU227" s="753"/>
      <c r="CV227" s="753"/>
      <c r="CW227" s="753"/>
      <c r="CX227" s="753"/>
      <c r="CY227" s="753"/>
      <c r="CZ227" s="753"/>
      <c r="DA227" s="753"/>
      <c r="DB227" s="753"/>
      <c r="DC227" s="753"/>
      <c r="DD227" s="753"/>
      <c r="DE227" s="753"/>
      <c r="DF227" s="753"/>
      <c r="DG227" s="753"/>
      <c r="DH227" s="753"/>
      <c r="DI227" s="753"/>
      <c r="DJ227" s="753"/>
      <c r="DK227" s="753"/>
      <c r="DL227" s="753"/>
      <c r="DM227" s="753"/>
      <c r="DN227" s="753"/>
      <c r="DO227" s="753"/>
      <c r="DP227" s="753"/>
      <c r="DQ227" s="753"/>
      <c r="DR227" s="753"/>
      <c r="DS227" s="776"/>
    </row>
    <row r="228" spans="1:123" s="758" customFormat="1">
      <c r="A228" s="784"/>
      <c r="B228" s="768"/>
      <c r="C228" s="804"/>
      <c r="D228" s="804"/>
      <c r="E228" s="773"/>
      <c r="F228" s="773"/>
      <c r="G228" s="780"/>
      <c r="H228" s="780"/>
      <c r="I228" s="773"/>
      <c r="J228" s="1063"/>
      <c r="K228" s="1063"/>
      <c r="L228" s="1063"/>
      <c r="M228" s="1063"/>
      <c r="N228" s="1039"/>
      <c r="O228" s="1090"/>
      <c r="P228" s="1039"/>
      <c r="Q228" s="1039"/>
      <c r="R228" s="1039"/>
      <c r="S228" s="1039"/>
      <c r="T228" s="1039"/>
      <c r="U228" s="1039"/>
      <c r="V228" s="1039"/>
      <c r="W228" s="1039"/>
      <c r="X228" s="1039"/>
      <c r="Y228" s="1039"/>
      <c r="Z228" s="1039"/>
      <c r="AA228" s="1039"/>
      <c r="AB228" s="1039"/>
      <c r="AC228" s="1039"/>
      <c r="AD228" s="1039"/>
      <c r="AE228" s="1039"/>
      <c r="AF228" s="1039"/>
      <c r="CT228" s="753"/>
      <c r="CU228" s="753"/>
      <c r="CV228" s="753"/>
      <c r="CW228" s="753"/>
      <c r="CX228" s="753"/>
      <c r="CY228" s="753"/>
      <c r="CZ228" s="753"/>
      <c r="DA228" s="753"/>
      <c r="DB228" s="753"/>
      <c r="DC228" s="753"/>
      <c r="DD228" s="753"/>
      <c r="DE228" s="753"/>
      <c r="DF228" s="753"/>
      <c r="DG228" s="753"/>
      <c r="DH228" s="753"/>
      <c r="DI228" s="753"/>
      <c r="DJ228" s="753"/>
      <c r="DK228" s="753"/>
      <c r="DL228" s="753"/>
      <c r="DM228" s="753"/>
      <c r="DN228" s="753"/>
      <c r="DO228" s="753"/>
      <c r="DP228" s="753"/>
      <c r="DQ228" s="753"/>
      <c r="DR228" s="753"/>
      <c r="DS228" s="776"/>
    </row>
    <row r="229" spans="1:123" s="758" customFormat="1">
      <c r="A229" s="784"/>
      <c r="B229" s="768"/>
      <c r="C229" s="804"/>
      <c r="D229" s="804"/>
      <c r="E229" s="773"/>
      <c r="F229" s="773"/>
      <c r="G229" s="780"/>
      <c r="H229" s="773"/>
      <c r="I229" s="773"/>
      <c r="J229" s="1063"/>
      <c r="K229" s="1063"/>
      <c r="L229" s="1063"/>
      <c r="M229" s="1063"/>
      <c r="N229" s="1039"/>
      <c r="O229" s="1090"/>
      <c r="P229" s="1039"/>
      <c r="Q229" s="1039"/>
      <c r="R229" s="1039"/>
      <c r="S229" s="1039"/>
      <c r="T229" s="1039"/>
      <c r="U229" s="1039"/>
      <c r="V229" s="1039"/>
      <c r="W229" s="1039"/>
      <c r="X229" s="1039"/>
      <c r="Y229" s="1039"/>
      <c r="Z229" s="1039"/>
      <c r="AA229" s="1039"/>
      <c r="AB229" s="1039"/>
      <c r="AC229" s="1039"/>
      <c r="AD229" s="1039"/>
      <c r="AE229" s="1039"/>
      <c r="AF229" s="1039"/>
      <c r="CT229" s="753"/>
      <c r="CU229" s="753"/>
      <c r="CV229" s="753"/>
      <c r="CW229" s="753"/>
      <c r="CX229" s="753"/>
      <c r="CY229" s="753"/>
      <c r="CZ229" s="753"/>
      <c r="DA229" s="753"/>
      <c r="DB229" s="753"/>
      <c r="DC229" s="753"/>
      <c r="DD229" s="753"/>
      <c r="DE229" s="753"/>
      <c r="DF229" s="753"/>
      <c r="DG229" s="753"/>
      <c r="DH229" s="753"/>
      <c r="DI229" s="753"/>
      <c r="DJ229" s="753"/>
      <c r="DK229" s="753"/>
      <c r="DL229" s="753"/>
      <c r="DM229" s="753"/>
      <c r="DN229" s="753"/>
      <c r="DO229" s="753"/>
      <c r="DP229" s="753"/>
      <c r="DQ229" s="753"/>
      <c r="DR229" s="753"/>
      <c r="DS229" s="776"/>
    </row>
    <row r="230" spans="1:123" s="758" customFormat="1">
      <c r="A230" s="822"/>
      <c r="B230" s="768"/>
      <c r="C230" s="773"/>
      <c r="D230" s="805"/>
      <c r="E230" s="773"/>
      <c r="F230" s="773"/>
      <c r="G230" s="780"/>
      <c r="H230" s="773"/>
      <c r="I230" s="780"/>
      <c r="J230" s="1063"/>
      <c r="K230" s="1063"/>
      <c r="L230" s="1063"/>
      <c r="M230" s="1063"/>
      <c r="N230" s="1039"/>
      <c r="O230" s="1090"/>
      <c r="P230" s="1039"/>
      <c r="Q230" s="1039"/>
      <c r="R230" s="1039"/>
      <c r="S230" s="1039"/>
      <c r="T230" s="1039"/>
      <c r="U230" s="1039"/>
      <c r="V230" s="1039"/>
      <c r="W230" s="1039"/>
      <c r="X230" s="1039"/>
      <c r="Y230" s="1039"/>
      <c r="Z230" s="1039"/>
      <c r="AA230" s="1039"/>
      <c r="AB230" s="1039"/>
      <c r="AC230" s="1039"/>
      <c r="AD230" s="1039"/>
      <c r="AE230" s="1039"/>
      <c r="AF230" s="1039"/>
      <c r="CT230" s="753"/>
      <c r="CU230" s="753"/>
      <c r="CV230" s="753"/>
      <c r="CW230" s="753"/>
      <c r="CX230" s="753"/>
      <c r="CY230" s="753"/>
      <c r="CZ230" s="753"/>
      <c r="DA230" s="753"/>
      <c r="DB230" s="753"/>
      <c r="DC230" s="753"/>
      <c r="DD230" s="753"/>
      <c r="DE230" s="753"/>
      <c r="DF230" s="753"/>
      <c r="DG230" s="753"/>
      <c r="DH230" s="753"/>
      <c r="DI230" s="753"/>
      <c r="DJ230" s="753"/>
      <c r="DK230" s="753"/>
      <c r="DL230" s="753"/>
      <c r="DM230" s="753"/>
      <c r="DN230" s="753"/>
      <c r="DO230" s="753"/>
      <c r="DP230" s="753"/>
      <c r="DQ230" s="753"/>
      <c r="DR230" s="753"/>
      <c r="DS230" s="776"/>
    </row>
    <row r="231" spans="1:123" s="758" customFormat="1">
      <c r="A231" s="784"/>
      <c r="B231" s="768"/>
      <c r="C231" s="804"/>
      <c r="D231" s="804"/>
      <c r="E231" s="773"/>
      <c r="F231" s="773"/>
      <c r="G231" s="780"/>
      <c r="H231" s="780"/>
      <c r="I231" s="780"/>
      <c r="J231" s="1063"/>
      <c r="K231" s="1063"/>
      <c r="L231" s="1063"/>
      <c r="M231" s="1063"/>
      <c r="N231" s="1039"/>
      <c r="O231" s="1090"/>
      <c r="P231" s="1039"/>
      <c r="Q231" s="1039"/>
      <c r="R231" s="1039"/>
      <c r="S231" s="1039"/>
      <c r="T231" s="1039"/>
      <c r="U231" s="1039"/>
      <c r="V231" s="1039"/>
      <c r="W231" s="1039"/>
      <c r="X231" s="1039"/>
      <c r="Y231" s="1039"/>
      <c r="Z231" s="1039"/>
      <c r="AA231" s="1039"/>
      <c r="AB231" s="1039"/>
      <c r="AC231" s="1039"/>
      <c r="AD231" s="1039"/>
      <c r="AE231" s="1039"/>
      <c r="AF231" s="1039"/>
      <c r="CT231" s="753"/>
      <c r="CU231" s="753"/>
      <c r="CV231" s="753"/>
      <c r="CW231" s="753"/>
      <c r="CX231" s="753"/>
      <c r="CY231" s="753"/>
      <c r="CZ231" s="753"/>
      <c r="DA231" s="753"/>
      <c r="DB231" s="753"/>
      <c r="DC231" s="753"/>
      <c r="DD231" s="753"/>
      <c r="DE231" s="753"/>
      <c r="DF231" s="753"/>
      <c r="DG231" s="753"/>
      <c r="DH231" s="753"/>
      <c r="DI231" s="753"/>
      <c r="DJ231" s="753"/>
      <c r="DK231" s="753"/>
      <c r="DL231" s="753"/>
      <c r="DM231" s="753"/>
      <c r="DN231" s="753"/>
      <c r="DO231" s="753"/>
      <c r="DP231" s="753"/>
      <c r="DQ231" s="753"/>
      <c r="DR231" s="753"/>
      <c r="DS231" s="776"/>
    </row>
    <row r="232" spans="1:123" s="758" customFormat="1">
      <c r="A232" s="822"/>
      <c r="B232" s="819"/>
      <c r="C232" s="773"/>
      <c r="D232" s="805"/>
      <c r="E232" s="773"/>
      <c r="F232" s="773"/>
      <c r="G232" s="780"/>
      <c r="H232" s="773"/>
      <c r="I232" s="773"/>
      <c r="J232" s="1063"/>
      <c r="K232" s="1063"/>
      <c r="L232" s="1063"/>
      <c r="M232" s="1063"/>
      <c r="N232" s="1039"/>
      <c r="O232" s="1090"/>
      <c r="P232" s="1039"/>
      <c r="Q232" s="1039"/>
      <c r="R232" s="1039"/>
      <c r="S232" s="1039"/>
      <c r="T232" s="1039"/>
      <c r="U232" s="1039"/>
      <c r="V232" s="1039"/>
      <c r="W232" s="1039"/>
      <c r="X232" s="1039"/>
      <c r="Y232" s="1039"/>
      <c r="Z232" s="1039"/>
      <c r="AA232" s="1039"/>
      <c r="AB232" s="1039"/>
      <c r="AC232" s="1039"/>
      <c r="AD232" s="1039"/>
      <c r="AE232" s="1039"/>
      <c r="AF232" s="1039"/>
      <c r="CT232" s="753"/>
      <c r="CU232" s="753"/>
      <c r="CV232" s="753"/>
      <c r="CW232" s="753"/>
      <c r="CX232" s="753"/>
      <c r="CY232" s="753"/>
      <c r="CZ232" s="753"/>
      <c r="DA232" s="753"/>
      <c r="DB232" s="753"/>
      <c r="DC232" s="753"/>
      <c r="DD232" s="753"/>
      <c r="DE232" s="753"/>
      <c r="DF232" s="753"/>
      <c r="DG232" s="753"/>
      <c r="DH232" s="753"/>
      <c r="DI232" s="753"/>
      <c r="DJ232" s="753"/>
      <c r="DK232" s="753"/>
      <c r="DL232" s="753"/>
      <c r="DM232" s="753"/>
      <c r="DN232" s="753"/>
      <c r="DO232" s="753"/>
      <c r="DP232" s="753"/>
      <c r="DQ232" s="753"/>
      <c r="DR232" s="753"/>
      <c r="DS232" s="776"/>
    </row>
    <row r="233" spans="1:123" s="758" customFormat="1">
      <c r="A233" s="822"/>
      <c r="B233" s="768"/>
      <c r="C233" s="773"/>
      <c r="D233" s="805"/>
      <c r="E233" s="773"/>
      <c r="F233" s="773"/>
      <c r="G233" s="773"/>
      <c r="H233" s="773"/>
      <c r="I233" s="773"/>
      <c r="J233" s="1063"/>
      <c r="K233" s="1063"/>
      <c r="L233" s="1063"/>
      <c r="M233" s="1063"/>
      <c r="N233" s="1039"/>
      <c r="O233" s="1090"/>
      <c r="P233" s="1039"/>
      <c r="Q233" s="1039"/>
      <c r="R233" s="1039"/>
      <c r="S233" s="1039"/>
      <c r="T233" s="1039"/>
      <c r="U233" s="1039"/>
      <c r="V233" s="1039"/>
      <c r="W233" s="1039"/>
      <c r="X233" s="1039"/>
      <c r="Y233" s="1039"/>
      <c r="Z233" s="1039"/>
      <c r="AA233" s="1039"/>
      <c r="AB233" s="1039"/>
      <c r="AC233" s="1039"/>
      <c r="AD233" s="1039"/>
      <c r="AE233" s="1039"/>
      <c r="AF233" s="1039"/>
      <c r="CT233" s="753"/>
      <c r="CU233" s="753"/>
      <c r="CV233" s="753"/>
      <c r="CW233" s="753"/>
      <c r="CX233" s="753"/>
      <c r="CY233" s="753"/>
      <c r="CZ233" s="753"/>
      <c r="DA233" s="753"/>
      <c r="DB233" s="753"/>
      <c r="DC233" s="753"/>
      <c r="DD233" s="753"/>
      <c r="DE233" s="753"/>
      <c r="DF233" s="753"/>
      <c r="DG233" s="753"/>
      <c r="DH233" s="753"/>
      <c r="DI233" s="753"/>
      <c r="DJ233" s="753"/>
      <c r="DK233" s="753"/>
      <c r="DL233" s="753"/>
      <c r="DM233" s="753"/>
      <c r="DN233" s="753"/>
      <c r="DO233" s="753"/>
      <c r="DP233" s="753"/>
      <c r="DQ233" s="753"/>
      <c r="DR233" s="753"/>
      <c r="DS233" s="776"/>
    </row>
    <row r="234" spans="1:123" s="758" customFormat="1">
      <c r="A234" s="822"/>
      <c r="B234" s="819"/>
      <c r="C234" s="773"/>
      <c r="D234" s="804"/>
      <c r="E234" s="773"/>
      <c r="F234" s="773"/>
      <c r="G234" s="773"/>
      <c r="H234" s="773"/>
      <c r="I234" s="773"/>
      <c r="J234" s="1063"/>
      <c r="K234" s="1063"/>
      <c r="L234" s="1063"/>
      <c r="M234" s="1063"/>
      <c r="N234" s="1039"/>
      <c r="O234" s="1090"/>
      <c r="P234" s="1039"/>
      <c r="Q234" s="1039"/>
      <c r="R234" s="1039"/>
      <c r="S234" s="1039"/>
      <c r="T234" s="1039"/>
      <c r="U234" s="1039"/>
      <c r="V234" s="1039"/>
      <c r="W234" s="1039"/>
      <c r="X234" s="1039"/>
      <c r="Y234" s="1039"/>
      <c r="Z234" s="1039"/>
      <c r="AA234" s="1039"/>
      <c r="AB234" s="1039"/>
      <c r="AC234" s="1039"/>
      <c r="AD234" s="1039"/>
      <c r="AE234" s="1039"/>
      <c r="AF234" s="1039"/>
      <c r="CT234" s="753"/>
      <c r="CU234" s="753"/>
      <c r="CV234" s="753"/>
      <c r="CW234" s="753"/>
      <c r="CX234" s="753"/>
      <c r="CY234" s="753"/>
      <c r="CZ234" s="753"/>
      <c r="DA234" s="753"/>
      <c r="DB234" s="753"/>
      <c r="DC234" s="753"/>
      <c r="DD234" s="753"/>
      <c r="DE234" s="753"/>
      <c r="DF234" s="753"/>
      <c r="DG234" s="753"/>
      <c r="DH234" s="753"/>
      <c r="DI234" s="753"/>
      <c r="DJ234" s="753"/>
      <c r="DK234" s="753"/>
      <c r="DL234" s="753"/>
      <c r="DM234" s="753"/>
      <c r="DN234" s="753"/>
      <c r="DO234" s="753"/>
      <c r="DP234" s="753"/>
      <c r="DQ234" s="753"/>
      <c r="DR234" s="753"/>
      <c r="DS234" s="776"/>
    </row>
    <row r="235" spans="1:123" s="758" customFormat="1">
      <c r="A235" s="784"/>
      <c r="B235" s="819"/>
      <c r="C235" s="804"/>
      <c r="D235" s="804"/>
      <c r="E235" s="773"/>
      <c r="F235" s="773"/>
      <c r="G235" s="773"/>
      <c r="H235" s="821"/>
      <c r="I235" s="773"/>
      <c r="J235" s="1063"/>
      <c r="K235" s="1063"/>
      <c r="L235" s="1063"/>
      <c r="M235" s="1063"/>
      <c r="N235" s="1039"/>
      <c r="O235" s="1090"/>
      <c r="P235" s="1039"/>
      <c r="Q235" s="1039"/>
      <c r="R235" s="1039"/>
      <c r="S235" s="1039"/>
      <c r="T235" s="1039"/>
      <c r="U235" s="1039"/>
      <c r="V235" s="1039"/>
      <c r="W235" s="1039"/>
      <c r="X235" s="1039"/>
      <c r="Y235" s="1039"/>
      <c r="Z235" s="1039"/>
      <c r="AA235" s="1039"/>
      <c r="AB235" s="1039"/>
      <c r="AC235" s="1039"/>
      <c r="AD235" s="1039"/>
      <c r="AE235" s="1039"/>
      <c r="AF235" s="1039"/>
      <c r="CT235" s="753"/>
      <c r="CU235" s="753"/>
      <c r="CV235" s="753"/>
      <c r="CW235" s="753"/>
      <c r="CX235" s="753"/>
      <c r="CY235" s="753"/>
      <c r="CZ235" s="753"/>
      <c r="DA235" s="753"/>
      <c r="DB235" s="753"/>
      <c r="DC235" s="753"/>
      <c r="DD235" s="753"/>
      <c r="DE235" s="753"/>
      <c r="DF235" s="753"/>
      <c r="DG235" s="753"/>
      <c r="DH235" s="753"/>
      <c r="DI235" s="753"/>
      <c r="DJ235" s="753"/>
      <c r="DK235" s="753"/>
      <c r="DL235" s="753"/>
      <c r="DM235" s="753"/>
      <c r="DN235" s="753"/>
      <c r="DO235" s="753"/>
      <c r="DP235" s="753"/>
      <c r="DQ235" s="753"/>
      <c r="DR235" s="753"/>
      <c r="DS235" s="776"/>
    </row>
    <row r="236" spans="1:123" s="758" customFormat="1">
      <c r="A236" s="784"/>
      <c r="B236" s="768"/>
      <c r="C236" s="804"/>
      <c r="D236" s="773"/>
      <c r="E236" s="773"/>
      <c r="F236" s="773"/>
      <c r="G236" s="773"/>
      <c r="H236" s="773"/>
      <c r="I236" s="773"/>
      <c r="J236" s="1039"/>
      <c r="K236" s="1039"/>
      <c r="L236" s="1039"/>
      <c r="M236" s="1039"/>
      <c r="N236" s="1039"/>
      <c r="O236" s="1090"/>
      <c r="P236" s="1039"/>
      <c r="Q236" s="1039"/>
      <c r="R236" s="1039"/>
      <c r="S236" s="1039"/>
      <c r="T236" s="1039"/>
      <c r="U236" s="1039"/>
      <c r="V236" s="1039"/>
      <c r="W236" s="1039"/>
      <c r="X236" s="1039"/>
      <c r="Y236" s="1039"/>
      <c r="Z236" s="1039"/>
      <c r="AA236" s="1039"/>
      <c r="AB236" s="1039"/>
      <c r="AC236" s="1039"/>
      <c r="AD236" s="1039"/>
      <c r="AE236" s="1039"/>
      <c r="AF236" s="1039"/>
      <c r="CT236" s="753"/>
      <c r="CU236" s="753"/>
      <c r="CV236" s="753"/>
      <c r="CW236" s="753"/>
      <c r="CX236" s="753"/>
      <c r="CY236" s="753"/>
      <c r="CZ236" s="753"/>
      <c r="DA236" s="753"/>
      <c r="DB236" s="753"/>
      <c r="DC236" s="753"/>
      <c r="DD236" s="753"/>
      <c r="DE236" s="753"/>
      <c r="DF236" s="753"/>
      <c r="DG236" s="753"/>
      <c r="DH236" s="753"/>
      <c r="DI236" s="753"/>
      <c r="DJ236" s="753"/>
      <c r="DK236" s="753"/>
      <c r="DL236" s="753"/>
      <c r="DM236" s="753"/>
      <c r="DN236" s="753"/>
      <c r="DO236" s="753"/>
      <c r="DP236" s="753"/>
      <c r="DQ236" s="753"/>
      <c r="DR236" s="753"/>
      <c r="DS236" s="776"/>
    </row>
    <row r="237" spans="1:123" s="758" customFormat="1">
      <c r="A237" s="822"/>
      <c r="B237" s="774"/>
      <c r="C237" s="773"/>
      <c r="D237" s="823"/>
      <c r="E237" s="773"/>
      <c r="F237" s="773"/>
      <c r="G237" s="773"/>
      <c r="H237" s="773"/>
      <c r="I237" s="773"/>
      <c r="J237" s="1039"/>
      <c r="K237" s="1039"/>
      <c r="L237" s="1039"/>
      <c r="M237" s="1039"/>
      <c r="N237" s="1039"/>
      <c r="O237" s="1090"/>
      <c r="P237" s="1039"/>
      <c r="Q237" s="1039"/>
      <c r="R237" s="1039"/>
      <c r="S237" s="1039"/>
      <c r="T237" s="1039"/>
      <c r="U237" s="1039"/>
      <c r="V237" s="1039"/>
      <c r="W237" s="1039"/>
      <c r="X237" s="1039"/>
      <c r="Y237" s="1039"/>
      <c r="Z237" s="1039"/>
      <c r="AA237" s="1039"/>
      <c r="AB237" s="1039"/>
      <c r="AC237" s="1039"/>
      <c r="AD237" s="1039"/>
      <c r="AE237" s="1039"/>
      <c r="AF237" s="1039"/>
      <c r="CT237" s="753"/>
      <c r="CU237" s="753"/>
      <c r="CV237" s="753"/>
      <c r="CW237" s="753"/>
      <c r="CX237" s="753"/>
      <c r="CY237" s="753"/>
      <c r="CZ237" s="753"/>
      <c r="DA237" s="753"/>
      <c r="DB237" s="753"/>
      <c r="DC237" s="753"/>
      <c r="DD237" s="753"/>
      <c r="DE237" s="753"/>
      <c r="DF237" s="753"/>
      <c r="DG237" s="753"/>
      <c r="DH237" s="753"/>
      <c r="DI237" s="753"/>
      <c r="DJ237" s="753"/>
      <c r="DK237" s="753"/>
      <c r="DL237" s="753"/>
      <c r="DM237" s="753"/>
      <c r="DN237" s="753"/>
      <c r="DO237" s="753"/>
      <c r="DP237" s="753"/>
      <c r="DQ237" s="753"/>
      <c r="DR237" s="753"/>
      <c r="DS237" s="776"/>
    </row>
    <row r="238" spans="1:123" s="758" customFormat="1">
      <c r="A238" s="784"/>
      <c r="B238" s="773"/>
      <c r="C238" s="804"/>
      <c r="D238" s="773"/>
      <c r="E238" s="773"/>
      <c r="F238" s="773"/>
      <c r="G238" s="773"/>
      <c r="H238" s="773"/>
      <c r="I238" s="773"/>
      <c r="J238" s="1039"/>
      <c r="K238" s="1039"/>
      <c r="L238" s="1039"/>
      <c r="M238" s="1039"/>
      <c r="N238" s="1039"/>
      <c r="O238" s="1090"/>
      <c r="P238" s="1039"/>
      <c r="Q238" s="1039"/>
      <c r="R238" s="1039"/>
      <c r="S238" s="1039"/>
      <c r="T238" s="1039"/>
      <c r="U238" s="1039"/>
      <c r="V238" s="1039"/>
      <c r="W238" s="1039"/>
      <c r="X238" s="1039"/>
      <c r="Y238" s="1039"/>
      <c r="Z238" s="1039"/>
      <c r="AA238" s="1039"/>
      <c r="AB238" s="1039"/>
      <c r="AC238" s="1039"/>
      <c r="AD238" s="1039"/>
      <c r="AE238" s="1039"/>
      <c r="AF238" s="1039"/>
      <c r="CT238" s="753"/>
      <c r="CU238" s="753"/>
      <c r="CV238" s="753"/>
      <c r="CW238" s="753"/>
      <c r="CX238" s="753"/>
      <c r="CY238" s="753"/>
      <c r="CZ238" s="753"/>
      <c r="DA238" s="753"/>
      <c r="DB238" s="753"/>
      <c r="DC238" s="753"/>
      <c r="DD238" s="753"/>
      <c r="DE238" s="753"/>
      <c r="DF238" s="753"/>
      <c r="DG238" s="753"/>
      <c r="DH238" s="753"/>
      <c r="DI238" s="753"/>
      <c r="DJ238" s="753"/>
      <c r="DK238" s="753"/>
      <c r="DL238" s="753"/>
      <c r="DM238" s="753"/>
      <c r="DN238" s="753"/>
      <c r="DO238" s="753"/>
      <c r="DP238" s="753"/>
      <c r="DQ238" s="753"/>
      <c r="DR238" s="753"/>
      <c r="DS238" s="776"/>
    </row>
    <row r="239" spans="1:123" s="758" customFormat="1">
      <c r="A239" s="773"/>
      <c r="B239" s="773"/>
      <c r="C239" s="773"/>
      <c r="D239" s="773"/>
      <c r="E239" s="773"/>
      <c r="F239" s="773"/>
      <c r="G239" s="773"/>
      <c r="H239" s="821"/>
      <c r="I239" s="773"/>
      <c r="J239" s="1039"/>
      <c r="K239" s="1039"/>
      <c r="L239" s="1039"/>
      <c r="M239" s="1039"/>
      <c r="N239" s="1039"/>
      <c r="O239" s="1090"/>
      <c r="P239" s="1039"/>
      <c r="Q239" s="1039"/>
      <c r="R239" s="1039"/>
      <c r="S239" s="1039"/>
      <c r="T239" s="1039"/>
      <c r="U239" s="1039"/>
      <c r="V239" s="1039"/>
      <c r="W239" s="1039"/>
      <c r="X239" s="1039"/>
      <c r="Y239" s="1039"/>
      <c r="Z239" s="1039"/>
      <c r="AA239" s="1039"/>
      <c r="AB239" s="1039"/>
      <c r="AC239" s="1039"/>
      <c r="AD239" s="1039"/>
      <c r="AE239" s="1039"/>
      <c r="AF239" s="1039"/>
      <c r="CT239" s="753"/>
      <c r="CU239" s="753"/>
      <c r="CV239" s="753"/>
      <c r="CW239" s="753"/>
      <c r="CX239" s="753"/>
      <c r="CY239" s="753"/>
      <c r="CZ239" s="753"/>
      <c r="DA239" s="753"/>
      <c r="DB239" s="753"/>
      <c r="DC239" s="753"/>
      <c r="DD239" s="753"/>
      <c r="DE239" s="753"/>
      <c r="DF239" s="753"/>
      <c r="DG239" s="753"/>
      <c r="DH239" s="753"/>
      <c r="DI239" s="753"/>
      <c r="DJ239" s="753"/>
      <c r="DK239" s="753"/>
      <c r="DL239" s="753"/>
      <c r="DM239" s="753"/>
      <c r="DN239" s="753"/>
      <c r="DO239" s="753"/>
      <c r="DP239" s="753"/>
      <c r="DQ239" s="753"/>
      <c r="DR239" s="753"/>
      <c r="DS239" s="776"/>
    </row>
    <row r="240" spans="1:123" s="758" customFormat="1">
      <c r="A240" s="804"/>
      <c r="B240" s="774"/>
      <c r="C240" s="773"/>
      <c r="D240" s="780"/>
      <c r="E240" s="780"/>
      <c r="F240" s="780"/>
      <c r="G240" s="780"/>
      <c r="H240" s="773"/>
      <c r="I240" s="773"/>
      <c r="J240" s="1039"/>
      <c r="K240" s="1039"/>
      <c r="L240" s="1039"/>
      <c r="M240" s="1039"/>
      <c r="N240" s="1039"/>
      <c r="O240" s="1090"/>
      <c r="P240" s="1039"/>
      <c r="Q240" s="1039"/>
      <c r="R240" s="1039"/>
      <c r="S240" s="1039"/>
      <c r="T240" s="1039"/>
      <c r="U240" s="1039"/>
      <c r="V240" s="1039"/>
      <c r="W240" s="1039"/>
      <c r="X240" s="1039"/>
      <c r="Y240" s="1039"/>
      <c r="Z240" s="1039"/>
      <c r="AA240" s="1039"/>
      <c r="AB240" s="1039"/>
      <c r="AC240" s="1039"/>
      <c r="AD240" s="1039"/>
      <c r="AE240" s="1039"/>
      <c r="AF240" s="1039"/>
      <c r="CT240" s="753"/>
      <c r="CU240" s="753"/>
      <c r="CV240" s="753"/>
      <c r="CW240" s="753"/>
      <c r="CX240" s="753"/>
      <c r="CY240" s="753"/>
      <c r="CZ240" s="753"/>
      <c r="DA240" s="753"/>
      <c r="DB240" s="753"/>
      <c r="DC240" s="753"/>
      <c r="DD240" s="753"/>
      <c r="DE240" s="753"/>
      <c r="DF240" s="753"/>
      <c r="DG240" s="753"/>
      <c r="DH240" s="753"/>
      <c r="DI240" s="753"/>
      <c r="DJ240" s="753"/>
      <c r="DK240" s="753"/>
      <c r="DL240" s="753"/>
      <c r="DM240" s="753"/>
      <c r="DN240" s="753"/>
      <c r="DO240" s="753"/>
      <c r="DP240" s="753"/>
      <c r="DQ240" s="753"/>
      <c r="DR240" s="753"/>
      <c r="DS240" s="776"/>
    </row>
    <row r="241" spans="1:123" s="758" customFormat="1">
      <c r="A241" s="784"/>
      <c r="B241" s="774"/>
      <c r="C241" s="804"/>
      <c r="D241" s="804"/>
      <c r="E241" s="780"/>
      <c r="F241" s="780"/>
      <c r="G241" s="780"/>
      <c r="H241" s="773"/>
      <c r="I241" s="780"/>
      <c r="J241" s="1039"/>
      <c r="K241" s="1039"/>
      <c r="L241" s="1039"/>
      <c r="M241" s="1039"/>
      <c r="N241" s="1039"/>
      <c r="O241" s="1090"/>
      <c r="P241" s="1039"/>
      <c r="Q241" s="1039"/>
      <c r="R241" s="1039"/>
      <c r="S241" s="1039"/>
      <c r="T241" s="1039"/>
      <c r="U241" s="1039"/>
      <c r="V241" s="1039"/>
      <c r="W241" s="1039"/>
      <c r="X241" s="1039"/>
      <c r="Y241" s="1039"/>
      <c r="Z241" s="1039"/>
      <c r="AA241" s="1039"/>
      <c r="AB241" s="1039"/>
      <c r="AC241" s="1039"/>
      <c r="AD241" s="1039"/>
      <c r="AE241" s="1039"/>
      <c r="AF241" s="1039"/>
      <c r="CT241" s="753"/>
      <c r="CU241" s="753"/>
      <c r="CV241" s="753"/>
      <c r="CW241" s="753"/>
      <c r="CX241" s="753"/>
      <c r="CY241" s="753"/>
      <c r="CZ241" s="753"/>
      <c r="DA241" s="753"/>
      <c r="DB241" s="753"/>
      <c r="DC241" s="753"/>
      <c r="DD241" s="753"/>
      <c r="DE241" s="753"/>
      <c r="DF241" s="753"/>
      <c r="DG241" s="753"/>
      <c r="DH241" s="753"/>
      <c r="DI241" s="753"/>
      <c r="DJ241" s="753"/>
      <c r="DK241" s="753"/>
      <c r="DL241" s="753"/>
      <c r="DM241" s="753"/>
      <c r="DN241" s="753"/>
      <c r="DO241" s="753"/>
      <c r="DP241" s="753"/>
      <c r="DQ241" s="753"/>
      <c r="DR241" s="753"/>
      <c r="DS241" s="776"/>
    </row>
    <row r="242" spans="1:123" s="758" customFormat="1">
      <c r="A242" s="784"/>
      <c r="B242" s="774"/>
      <c r="C242" s="804"/>
      <c r="D242" s="804"/>
      <c r="E242" s="780"/>
      <c r="F242" s="780"/>
      <c r="G242" s="780"/>
      <c r="H242" s="780"/>
      <c r="I242" s="780"/>
      <c r="J242" s="1039"/>
      <c r="K242" s="1039"/>
      <c r="L242" s="1039"/>
      <c r="M242" s="1039"/>
      <c r="N242" s="1039"/>
      <c r="O242" s="1090"/>
      <c r="P242" s="1039"/>
      <c r="Q242" s="1039"/>
      <c r="R242" s="1039"/>
      <c r="S242" s="1039"/>
      <c r="T242" s="1039"/>
      <c r="U242" s="1039"/>
      <c r="V242" s="1039"/>
      <c r="W242" s="1039"/>
      <c r="X242" s="1039"/>
      <c r="Y242" s="1039"/>
      <c r="Z242" s="1039"/>
      <c r="AA242" s="1039"/>
      <c r="AB242" s="1039"/>
      <c r="AC242" s="1039"/>
      <c r="AD242" s="1039"/>
      <c r="AE242" s="1039"/>
      <c r="AF242" s="1039"/>
      <c r="CT242" s="753"/>
      <c r="CU242" s="753"/>
      <c r="CV242" s="753"/>
      <c r="CW242" s="753"/>
      <c r="CX242" s="753"/>
      <c r="CY242" s="753"/>
      <c r="CZ242" s="753"/>
      <c r="DA242" s="753"/>
      <c r="DB242" s="753"/>
      <c r="DC242" s="753"/>
      <c r="DD242" s="753"/>
      <c r="DE242" s="753"/>
      <c r="DF242" s="753"/>
      <c r="DG242" s="753"/>
      <c r="DH242" s="753"/>
      <c r="DI242" s="753"/>
      <c r="DJ242" s="753"/>
      <c r="DK242" s="753"/>
      <c r="DL242" s="753"/>
      <c r="DM242" s="753"/>
      <c r="DN242" s="753"/>
      <c r="DO242" s="753"/>
      <c r="DP242" s="753"/>
      <c r="DQ242" s="753"/>
      <c r="DR242" s="753"/>
      <c r="DS242" s="776"/>
    </row>
    <row r="243" spans="1:123" s="758" customFormat="1">
      <c r="A243" s="784"/>
      <c r="B243" s="774"/>
      <c r="C243" s="804"/>
      <c r="D243" s="804"/>
      <c r="E243" s="780"/>
      <c r="F243" s="780"/>
      <c r="G243" s="780"/>
      <c r="H243" s="780"/>
      <c r="I243" s="780"/>
      <c r="J243" s="1039"/>
      <c r="K243" s="1039"/>
      <c r="L243" s="1039"/>
      <c r="M243" s="1039"/>
      <c r="N243" s="1039"/>
      <c r="O243" s="1090"/>
      <c r="P243" s="1039"/>
      <c r="Q243" s="1039"/>
      <c r="R243" s="1039"/>
      <c r="S243" s="1039"/>
      <c r="T243" s="1039"/>
      <c r="U243" s="1039"/>
      <c r="V243" s="1039"/>
      <c r="W243" s="1039"/>
      <c r="X243" s="1039"/>
      <c r="Y243" s="1039"/>
      <c r="Z243" s="1039"/>
      <c r="AA243" s="1039"/>
      <c r="AB243" s="1039"/>
      <c r="AC243" s="1039"/>
      <c r="AD243" s="1039"/>
      <c r="AE243" s="1039"/>
      <c r="AF243" s="1039"/>
      <c r="CT243" s="753"/>
      <c r="CU243" s="753"/>
      <c r="CV243" s="753"/>
      <c r="CW243" s="753"/>
      <c r="CX243" s="753"/>
      <c r="CY243" s="753"/>
      <c r="CZ243" s="753"/>
      <c r="DA243" s="753"/>
      <c r="DB243" s="753"/>
      <c r="DC243" s="753"/>
      <c r="DD243" s="753"/>
      <c r="DE243" s="753"/>
      <c r="DF243" s="753"/>
      <c r="DG243" s="753"/>
      <c r="DH243" s="753"/>
      <c r="DI243" s="753"/>
      <c r="DJ243" s="753"/>
      <c r="DK243" s="753"/>
      <c r="DL243" s="753"/>
      <c r="DM243" s="753"/>
      <c r="DN243" s="753"/>
      <c r="DO243" s="753"/>
      <c r="DP243" s="753"/>
      <c r="DQ243" s="753"/>
      <c r="DR243" s="753"/>
      <c r="DS243" s="776"/>
    </row>
    <row r="244" spans="1:123" s="758" customFormat="1">
      <c r="A244" s="784"/>
      <c r="B244" s="773"/>
      <c r="C244" s="804"/>
      <c r="D244" s="804"/>
      <c r="E244" s="773"/>
      <c r="F244" s="773"/>
      <c r="G244" s="780"/>
      <c r="H244" s="780"/>
      <c r="I244" s="780"/>
      <c r="J244" s="1039"/>
      <c r="K244" s="1039"/>
      <c r="L244" s="1039"/>
      <c r="M244" s="1039"/>
      <c r="N244" s="1039"/>
      <c r="O244" s="1090"/>
      <c r="P244" s="1039"/>
      <c r="Q244" s="1039"/>
      <c r="R244" s="1039"/>
      <c r="S244" s="1039"/>
      <c r="T244" s="1039"/>
      <c r="U244" s="1039"/>
      <c r="V244" s="1039"/>
      <c r="W244" s="1039"/>
      <c r="X244" s="1039"/>
      <c r="Y244" s="1039"/>
      <c r="Z244" s="1039"/>
      <c r="AA244" s="1039"/>
      <c r="AB244" s="1039"/>
      <c r="AC244" s="1039"/>
      <c r="AD244" s="1039"/>
      <c r="AE244" s="1039"/>
      <c r="AF244" s="1039"/>
      <c r="CT244" s="753"/>
      <c r="CU244" s="753"/>
      <c r="CV244" s="753"/>
      <c r="CW244" s="753"/>
      <c r="CX244" s="753"/>
      <c r="CY244" s="753"/>
      <c r="CZ244" s="753"/>
      <c r="DA244" s="753"/>
      <c r="DB244" s="753"/>
      <c r="DC244" s="753"/>
      <c r="DD244" s="753"/>
      <c r="DE244" s="753"/>
      <c r="DF244" s="753"/>
      <c r="DG244" s="753"/>
      <c r="DH244" s="753"/>
      <c r="DI244" s="753"/>
      <c r="DJ244" s="753"/>
      <c r="DK244" s="753"/>
      <c r="DL244" s="753"/>
      <c r="DM244" s="753"/>
      <c r="DN244" s="753"/>
      <c r="DO244" s="753"/>
      <c r="DP244" s="753"/>
      <c r="DQ244" s="753"/>
      <c r="DR244" s="753"/>
      <c r="DS244" s="776"/>
    </row>
    <row r="245" spans="1:123" s="758" customFormat="1">
      <c r="A245" s="804"/>
      <c r="B245" s="819"/>
      <c r="C245" s="773"/>
      <c r="D245" s="773"/>
      <c r="E245" s="773"/>
      <c r="F245" s="773"/>
      <c r="G245" s="780"/>
      <c r="H245" s="821"/>
      <c r="I245" s="780"/>
      <c r="J245" s="1039"/>
      <c r="K245" s="1039"/>
      <c r="L245" s="1039"/>
      <c r="M245" s="1039"/>
      <c r="N245" s="1039"/>
      <c r="O245" s="1090"/>
      <c r="P245" s="1039"/>
      <c r="Q245" s="1039"/>
      <c r="R245" s="1039"/>
      <c r="S245" s="1039"/>
      <c r="T245" s="1039"/>
      <c r="U245" s="1039"/>
      <c r="V245" s="1039"/>
      <c r="W245" s="1039"/>
      <c r="X245" s="1039"/>
      <c r="Y245" s="1039"/>
      <c r="Z245" s="1039"/>
      <c r="AA245" s="1039"/>
      <c r="AB245" s="1039"/>
      <c r="AC245" s="1039"/>
      <c r="AD245" s="1039"/>
      <c r="AE245" s="1039"/>
      <c r="AF245" s="1039"/>
      <c r="CT245" s="753"/>
      <c r="CU245" s="753"/>
      <c r="CV245" s="753"/>
      <c r="CW245" s="753"/>
      <c r="CX245" s="753"/>
      <c r="CY245" s="753"/>
      <c r="CZ245" s="753"/>
      <c r="DA245" s="753"/>
      <c r="DB245" s="753"/>
      <c r="DC245" s="753"/>
      <c r="DD245" s="753"/>
      <c r="DE245" s="753"/>
      <c r="DF245" s="753"/>
      <c r="DG245" s="753"/>
      <c r="DH245" s="753"/>
      <c r="DI245" s="753"/>
      <c r="DJ245" s="753"/>
      <c r="DK245" s="753"/>
      <c r="DL245" s="753"/>
      <c r="DM245" s="753"/>
      <c r="DN245" s="753"/>
      <c r="DO245" s="753"/>
      <c r="DP245" s="753"/>
      <c r="DQ245" s="753"/>
      <c r="DR245" s="753"/>
      <c r="DS245" s="776"/>
    </row>
    <row r="246" spans="1:123" s="758" customFormat="1">
      <c r="A246" s="784"/>
      <c r="B246" s="774"/>
      <c r="C246" s="804"/>
      <c r="D246" s="804"/>
      <c r="E246" s="773"/>
      <c r="F246" s="773"/>
      <c r="G246" s="773"/>
      <c r="H246" s="773"/>
      <c r="I246" s="780"/>
      <c r="J246" s="1039"/>
      <c r="K246" s="1039"/>
      <c r="L246" s="1039"/>
      <c r="M246" s="1039"/>
      <c r="N246" s="1039"/>
      <c r="O246" s="1090"/>
      <c r="P246" s="1039"/>
      <c r="Q246" s="1039"/>
      <c r="R246" s="1039"/>
      <c r="S246" s="1039"/>
      <c r="T246" s="1039"/>
      <c r="U246" s="1039"/>
      <c r="V246" s="1039"/>
      <c r="W246" s="1039"/>
      <c r="X246" s="1039"/>
      <c r="Y246" s="1039"/>
      <c r="Z246" s="1039"/>
      <c r="AA246" s="1039"/>
      <c r="AB246" s="1039"/>
      <c r="AC246" s="1039"/>
      <c r="AD246" s="1039"/>
      <c r="AE246" s="1039"/>
      <c r="AF246" s="1039"/>
      <c r="CT246" s="753"/>
      <c r="CU246" s="753"/>
      <c r="CV246" s="753"/>
      <c r="CW246" s="753"/>
      <c r="CX246" s="753"/>
      <c r="CY246" s="753"/>
      <c r="CZ246" s="753"/>
      <c r="DA246" s="753"/>
      <c r="DB246" s="753"/>
      <c r="DC246" s="753"/>
      <c r="DD246" s="753"/>
      <c r="DE246" s="753"/>
      <c r="DF246" s="753"/>
      <c r="DG246" s="753"/>
      <c r="DH246" s="753"/>
      <c r="DI246" s="753"/>
      <c r="DJ246" s="753"/>
      <c r="DK246" s="753"/>
      <c r="DL246" s="753"/>
      <c r="DM246" s="753"/>
      <c r="DN246" s="753"/>
      <c r="DO246" s="753"/>
      <c r="DP246" s="753"/>
      <c r="DQ246" s="753"/>
      <c r="DR246" s="753"/>
      <c r="DS246" s="776"/>
    </row>
    <row r="247" spans="1:123" s="758" customFormat="1">
      <c r="A247" s="784"/>
      <c r="B247" s="774"/>
      <c r="C247" s="804"/>
      <c r="D247" s="804"/>
      <c r="E247" s="773"/>
      <c r="F247" s="773"/>
      <c r="G247" s="773"/>
      <c r="H247" s="780"/>
      <c r="I247" s="780"/>
      <c r="J247" s="1039"/>
      <c r="K247" s="1039"/>
      <c r="L247" s="1039"/>
      <c r="M247" s="1039"/>
      <c r="N247" s="1039"/>
      <c r="O247" s="1090"/>
      <c r="P247" s="1039"/>
      <c r="Q247" s="1039"/>
      <c r="R247" s="1039"/>
      <c r="S247" s="1039"/>
      <c r="T247" s="1039"/>
      <c r="U247" s="1039"/>
      <c r="V247" s="1039"/>
      <c r="W247" s="1039"/>
      <c r="X247" s="1039"/>
      <c r="Y247" s="1039"/>
      <c r="Z247" s="1039"/>
      <c r="AA247" s="1039"/>
      <c r="AB247" s="1039"/>
      <c r="AC247" s="1039"/>
      <c r="AD247" s="1039"/>
      <c r="AE247" s="1039"/>
      <c r="AF247" s="1039"/>
      <c r="CT247" s="753"/>
      <c r="CU247" s="753"/>
      <c r="CV247" s="753"/>
      <c r="CW247" s="753"/>
      <c r="CX247" s="753"/>
      <c r="CY247" s="753"/>
      <c r="CZ247" s="753"/>
      <c r="DA247" s="753"/>
      <c r="DB247" s="753"/>
      <c r="DC247" s="753"/>
      <c r="DD247" s="753"/>
      <c r="DE247" s="753"/>
      <c r="DF247" s="753"/>
      <c r="DG247" s="753"/>
      <c r="DH247" s="753"/>
      <c r="DI247" s="753"/>
      <c r="DJ247" s="753"/>
      <c r="DK247" s="753"/>
      <c r="DL247" s="753"/>
      <c r="DM247" s="753"/>
      <c r="DN247" s="753"/>
      <c r="DO247" s="753"/>
      <c r="DP247" s="753"/>
      <c r="DQ247" s="753"/>
      <c r="DR247" s="753"/>
      <c r="DS247" s="776"/>
    </row>
    <row r="248" spans="1:123" s="758" customFormat="1">
      <c r="A248" s="784"/>
      <c r="B248" s="753"/>
      <c r="C248" s="804"/>
      <c r="D248" s="804"/>
      <c r="E248" s="773"/>
      <c r="F248" s="773"/>
      <c r="G248" s="780"/>
      <c r="H248" s="821"/>
      <c r="I248" s="780"/>
      <c r="J248" s="1039"/>
      <c r="K248" s="1039"/>
      <c r="L248" s="1039"/>
      <c r="M248" s="1039"/>
      <c r="N248" s="1039"/>
      <c r="O248" s="1090"/>
      <c r="P248" s="1039"/>
      <c r="Q248" s="1039"/>
      <c r="R248" s="1039"/>
      <c r="S248" s="1039"/>
      <c r="T248" s="1039"/>
      <c r="U248" s="1039"/>
      <c r="V248" s="1039"/>
      <c r="W248" s="1039"/>
      <c r="X248" s="1039"/>
      <c r="Y248" s="1039"/>
      <c r="Z248" s="1039"/>
      <c r="AA248" s="1039"/>
      <c r="AB248" s="1039"/>
      <c r="AC248" s="1039"/>
      <c r="AD248" s="1039"/>
      <c r="AE248" s="1039"/>
      <c r="AF248" s="1039"/>
      <c r="CT248" s="753"/>
      <c r="CU248" s="753"/>
      <c r="CV248" s="753"/>
      <c r="CW248" s="753"/>
      <c r="CX248" s="753"/>
      <c r="CY248" s="753"/>
      <c r="CZ248" s="753"/>
      <c r="DA248" s="753"/>
      <c r="DB248" s="753"/>
      <c r="DC248" s="753"/>
      <c r="DD248" s="753"/>
      <c r="DE248" s="753"/>
      <c r="DF248" s="753"/>
      <c r="DG248" s="753"/>
      <c r="DH248" s="753"/>
      <c r="DI248" s="753"/>
      <c r="DJ248" s="753"/>
      <c r="DK248" s="753"/>
      <c r="DL248" s="753"/>
      <c r="DM248" s="753"/>
      <c r="DN248" s="753"/>
      <c r="DO248" s="753"/>
      <c r="DP248" s="753"/>
      <c r="DQ248" s="753"/>
      <c r="DR248" s="753"/>
      <c r="DS248" s="776"/>
    </row>
    <row r="249" spans="1:123" s="758" customFormat="1">
      <c r="A249" s="773"/>
      <c r="B249" s="774"/>
      <c r="C249" s="773"/>
      <c r="D249" s="804"/>
      <c r="E249" s="773"/>
      <c r="F249" s="773"/>
      <c r="G249" s="773"/>
      <c r="H249" s="780"/>
      <c r="I249" s="780"/>
      <c r="J249" s="1039"/>
      <c r="K249" s="1039"/>
      <c r="L249" s="1039"/>
      <c r="M249" s="1039"/>
      <c r="N249" s="1039"/>
      <c r="O249" s="1090"/>
      <c r="P249" s="1039"/>
      <c r="Q249" s="1039"/>
      <c r="R249" s="1039"/>
      <c r="S249" s="1039"/>
      <c r="T249" s="1039"/>
      <c r="U249" s="1039"/>
      <c r="V249" s="1039"/>
      <c r="W249" s="1039"/>
      <c r="X249" s="1039"/>
      <c r="Y249" s="1039"/>
      <c r="Z249" s="1039"/>
      <c r="AA249" s="1039"/>
      <c r="AB249" s="1039"/>
      <c r="AC249" s="1039"/>
      <c r="AD249" s="1039"/>
      <c r="AE249" s="1039"/>
      <c r="AF249" s="1039"/>
      <c r="CT249" s="753"/>
      <c r="CU249" s="753"/>
      <c r="CV249" s="753"/>
      <c r="CW249" s="753"/>
      <c r="CX249" s="753"/>
      <c r="CY249" s="753"/>
      <c r="CZ249" s="753"/>
      <c r="DA249" s="753"/>
      <c r="DB249" s="753"/>
      <c r="DC249" s="753"/>
      <c r="DD249" s="753"/>
      <c r="DE249" s="753"/>
      <c r="DF249" s="753"/>
      <c r="DG249" s="753"/>
      <c r="DH249" s="753"/>
      <c r="DI249" s="753"/>
      <c r="DJ249" s="753"/>
      <c r="DK249" s="753"/>
      <c r="DL249" s="753"/>
      <c r="DM249" s="753"/>
      <c r="DN249" s="753"/>
      <c r="DO249" s="753"/>
      <c r="DP249" s="753"/>
      <c r="DQ249" s="753"/>
      <c r="DR249" s="753"/>
      <c r="DS249" s="776"/>
    </row>
    <row r="250" spans="1:123" s="758" customFormat="1">
      <c r="A250" s="824"/>
      <c r="B250" s="819"/>
      <c r="C250" s="804"/>
      <c r="D250" s="804"/>
      <c r="E250" s="773"/>
      <c r="F250" s="773"/>
      <c r="G250" s="773"/>
      <c r="H250" s="780"/>
      <c r="I250" s="780"/>
      <c r="J250" s="1039"/>
      <c r="K250" s="1039"/>
      <c r="L250" s="1039"/>
      <c r="M250" s="1039"/>
      <c r="N250" s="1039"/>
      <c r="O250" s="1090"/>
      <c r="P250" s="1039"/>
      <c r="Q250" s="1039"/>
      <c r="R250" s="1039"/>
      <c r="S250" s="1039"/>
      <c r="T250" s="1039"/>
      <c r="U250" s="1039"/>
      <c r="V250" s="1039"/>
      <c r="W250" s="1039"/>
      <c r="X250" s="1039"/>
      <c r="Y250" s="1039"/>
      <c r="Z250" s="1039"/>
      <c r="AA250" s="1039"/>
      <c r="AB250" s="1039"/>
      <c r="AC250" s="1039"/>
      <c r="AD250" s="1039"/>
      <c r="AE250" s="1039"/>
      <c r="AF250" s="1039"/>
      <c r="CT250" s="753"/>
      <c r="CU250" s="753"/>
      <c r="CV250" s="753"/>
      <c r="CW250" s="753"/>
      <c r="CX250" s="753"/>
      <c r="CY250" s="753"/>
      <c r="CZ250" s="753"/>
      <c r="DA250" s="753"/>
      <c r="DB250" s="753"/>
      <c r="DC250" s="753"/>
      <c r="DD250" s="753"/>
      <c r="DE250" s="753"/>
      <c r="DF250" s="753"/>
      <c r="DG250" s="753"/>
      <c r="DH250" s="753"/>
      <c r="DI250" s="753"/>
      <c r="DJ250" s="753"/>
      <c r="DK250" s="753"/>
      <c r="DL250" s="753"/>
      <c r="DM250" s="753"/>
      <c r="DN250" s="753"/>
      <c r="DO250" s="753"/>
      <c r="DP250" s="753"/>
      <c r="DQ250" s="753"/>
      <c r="DR250" s="753"/>
      <c r="DS250" s="776"/>
    </row>
    <row r="251" spans="1:123" s="758" customFormat="1">
      <c r="A251" s="784"/>
      <c r="B251" s="774"/>
      <c r="C251" s="804"/>
      <c r="D251" s="804"/>
      <c r="E251" s="773"/>
      <c r="F251" s="773"/>
      <c r="G251" s="773"/>
      <c r="H251" s="780"/>
      <c r="I251" s="780"/>
      <c r="J251" s="1039"/>
      <c r="K251" s="1039"/>
      <c r="L251" s="1039"/>
      <c r="M251" s="1039"/>
      <c r="N251" s="1039"/>
      <c r="O251" s="1090"/>
      <c r="P251" s="1039"/>
      <c r="Q251" s="1039"/>
      <c r="R251" s="1039"/>
      <c r="S251" s="1039"/>
      <c r="T251" s="1039"/>
      <c r="U251" s="1039"/>
      <c r="V251" s="1039"/>
      <c r="W251" s="1039"/>
      <c r="X251" s="1039"/>
      <c r="Y251" s="1039"/>
      <c r="Z251" s="1039"/>
      <c r="AA251" s="1039"/>
      <c r="AB251" s="1039"/>
      <c r="AC251" s="1039"/>
      <c r="AD251" s="1039"/>
      <c r="AE251" s="1039"/>
      <c r="AF251" s="1039"/>
      <c r="CT251" s="753"/>
      <c r="CU251" s="753"/>
      <c r="CV251" s="753"/>
      <c r="CW251" s="753"/>
      <c r="CX251" s="753"/>
      <c r="CY251" s="753"/>
      <c r="CZ251" s="753"/>
      <c r="DA251" s="753"/>
      <c r="DB251" s="753"/>
      <c r="DC251" s="753"/>
      <c r="DD251" s="753"/>
      <c r="DE251" s="753"/>
      <c r="DF251" s="753"/>
      <c r="DG251" s="753"/>
      <c r="DH251" s="753"/>
      <c r="DI251" s="753"/>
      <c r="DJ251" s="753"/>
      <c r="DK251" s="753"/>
      <c r="DL251" s="753"/>
      <c r="DM251" s="753"/>
      <c r="DN251" s="753"/>
      <c r="DO251" s="753"/>
      <c r="DP251" s="753"/>
      <c r="DQ251" s="753"/>
      <c r="DR251" s="753"/>
      <c r="DS251" s="776"/>
    </row>
    <row r="252" spans="1:123" s="758" customFormat="1">
      <c r="A252" s="784"/>
      <c r="B252" s="768"/>
      <c r="C252" s="804"/>
      <c r="D252" s="804"/>
      <c r="E252" s="773"/>
      <c r="F252" s="773"/>
      <c r="G252" s="773"/>
      <c r="H252" s="780"/>
      <c r="I252" s="780"/>
      <c r="J252" s="1039"/>
      <c r="K252" s="1039"/>
      <c r="L252" s="1039"/>
      <c r="M252" s="1039"/>
      <c r="N252" s="1039"/>
      <c r="O252" s="1090"/>
      <c r="P252" s="1039"/>
      <c r="Q252" s="1039"/>
      <c r="R252" s="1039"/>
      <c r="S252" s="1039"/>
      <c r="T252" s="1039"/>
      <c r="U252" s="1039"/>
      <c r="V252" s="1039"/>
      <c r="W252" s="1039"/>
      <c r="X252" s="1039"/>
      <c r="Y252" s="1039"/>
      <c r="Z252" s="1039"/>
      <c r="AA252" s="1039"/>
      <c r="AB252" s="1039"/>
      <c r="AC252" s="1039"/>
      <c r="AD252" s="1039"/>
      <c r="AE252" s="1039"/>
      <c r="AF252" s="1039"/>
      <c r="CT252" s="753"/>
      <c r="CU252" s="753"/>
      <c r="CV252" s="753"/>
      <c r="CW252" s="753"/>
      <c r="CX252" s="753"/>
      <c r="CY252" s="753"/>
      <c r="CZ252" s="753"/>
      <c r="DA252" s="753"/>
      <c r="DB252" s="753"/>
      <c r="DC252" s="753"/>
      <c r="DD252" s="753"/>
      <c r="DE252" s="753"/>
      <c r="DF252" s="753"/>
      <c r="DG252" s="753"/>
      <c r="DH252" s="753"/>
      <c r="DI252" s="753"/>
      <c r="DJ252" s="753"/>
      <c r="DK252" s="753"/>
      <c r="DL252" s="753"/>
      <c r="DM252" s="753"/>
      <c r="DN252" s="753"/>
      <c r="DO252" s="753"/>
      <c r="DP252" s="753"/>
      <c r="DQ252" s="753"/>
      <c r="DR252" s="753"/>
      <c r="DS252" s="776"/>
    </row>
    <row r="253" spans="1:123" s="758" customFormat="1">
      <c r="A253" s="784"/>
      <c r="B253" s="774"/>
      <c r="C253" s="804"/>
      <c r="D253" s="804"/>
      <c r="E253" s="773"/>
      <c r="F253" s="773"/>
      <c r="G253" s="773"/>
      <c r="H253" s="780"/>
      <c r="I253" s="780"/>
      <c r="J253" s="1039"/>
      <c r="K253" s="1039"/>
      <c r="L253" s="1039"/>
      <c r="M253" s="1039"/>
      <c r="N253" s="1039"/>
      <c r="O253" s="1090"/>
      <c r="P253" s="1039"/>
      <c r="Q253" s="1039"/>
      <c r="R253" s="1039"/>
      <c r="S253" s="1039"/>
      <c r="T253" s="1039"/>
      <c r="U253" s="1039"/>
      <c r="V253" s="1039"/>
      <c r="W253" s="1039"/>
      <c r="X253" s="1039"/>
      <c r="Y253" s="1039"/>
      <c r="Z253" s="1039"/>
      <c r="AA253" s="1039"/>
      <c r="AB253" s="1039"/>
      <c r="AC253" s="1039"/>
      <c r="AD253" s="1039"/>
      <c r="AE253" s="1039"/>
      <c r="AF253" s="1039"/>
      <c r="CT253" s="753"/>
      <c r="CU253" s="753"/>
      <c r="CV253" s="753"/>
      <c r="CW253" s="753"/>
      <c r="CX253" s="753"/>
      <c r="CY253" s="753"/>
      <c r="CZ253" s="753"/>
      <c r="DA253" s="753"/>
      <c r="DB253" s="753"/>
      <c r="DC253" s="753"/>
      <c r="DD253" s="753"/>
      <c r="DE253" s="753"/>
      <c r="DF253" s="753"/>
      <c r="DG253" s="753"/>
      <c r="DH253" s="753"/>
      <c r="DI253" s="753"/>
      <c r="DJ253" s="753"/>
      <c r="DK253" s="753"/>
      <c r="DL253" s="753"/>
      <c r="DM253" s="753"/>
      <c r="DN253" s="753"/>
      <c r="DO253" s="753"/>
      <c r="DP253" s="753"/>
      <c r="DQ253" s="753"/>
      <c r="DR253" s="753"/>
      <c r="DS253" s="776"/>
    </row>
    <row r="254" spans="1:123" s="758" customFormat="1">
      <c r="A254" s="784"/>
      <c r="B254" s="774"/>
      <c r="C254" s="804"/>
      <c r="D254" s="804"/>
      <c r="E254" s="773"/>
      <c r="F254" s="773"/>
      <c r="G254" s="773"/>
      <c r="H254" s="780"/>
      <c r="I254" s="780"/>
      <c r="J254" s="1039"/>
      <c r="K254" s="1039"/>
      <c r="L254" s="1039"/>
      <c r="M254" s="1039"/>
      <c r="N254" s="1039"/>
      <c r="O254" s="1090"/>
      <c r="P254" s="1039"/>
      <c r="Q254" s="1039"/>
      <c r="R254" s="1039"/>
      <c r="S254" s="1039"/>
      <c r="T254" s="1039"/>
      <c r="U254" s="1039"/>
      <c r="V254" s="1039"/>
      <c r="W254" s="1039"/>
      <c r="X254" s="1039"/>
      <c r="Y254" s="1039"/>
      <c r="Z254" s="1039"/>
      <c r="AA254" s="1039"/>
      <c r="AB254" s="1039"/>
      <c r="AC254" s="1039"/>
      <c r="AD254" s="1039"/>
      <c r="AE254" s="1039"/>
      <c r="AF254" s="1039"/>
      <c r="CT254" s="753"/>
      <c r="CU254" s="753"/>
      <c r="CV254" s="753"/>
      <c r="CW254" s="753"/>
      <c r="CX254" s="753"/>
      <c r="CY254" s="753"/>
      <c r="CZ254" s="753"/>
      <c r="DA254" s="753"/>
      <c r="DB254" s="753"/>
      <c r="DC254" s="753"/>
      <c r="DD254" s="753"/>
      <c r="DE254" s="753"/>
      <c r="DF254" s="753"/>
      <c r="DG254" s="753"/>
      <c r="DH254" s="753"/>
      <c r="DI254" s="753"/>
      <c r="DJ254" s="753"/>
      <c r="DK254" s="753"/>
      <c r="DL254" s="753"/>
      <c r="DM254" s="753"/>
      <c r="DN254" s="753"/>
      <c r="DO254" s="753"/>
      <c r="DP254" s="753"/>
      <c r="DQ254" s="753"/>
      <c r="DR254" s="753"/>
      <c r="DS254" s="776"/>
    </row>
    <row r="255" spans="1:123" s="758" customFormat="1">
      <c r="A255" s="784"/>
      <c r="B255" s="773"/>
      <c r="C255" s="804"/>
      <c r="D255" s="804"/>
      <c r="E255" s="773"/>
      <c r="F255" s="773"/>
      <c r="G255" s="780"/>
      <c r="H255" s="821"/>
      <c r="I255" s="773"/>
      <c r="J255" s="1039"/>
      <c r="K255" s="1039"/>
      <c r="L255" s="1039"/>
      <c r="M255" s="1039"/>
      <c r="N255" s="1039"/>
      <c r="O255" s="1090"/>
      <c r="P255" s="1039"/>
      <c r="Q255" s="1039"/>
      <c r="R255" s="1039"/>
      <c r="S255" s="1039"/>
      <c r="T255" s="1039"/>
      <c r="U255" s="1039"/>
      <c r="V255" s="1039"/>
      <c r="W255" s="1039"/>
      <c r="X255" s="1039"/>
      <c r="Y255" s="1039"/>
      <c r="Z255" s="1039"/>
      <c r="AA255" s="1039"/>
      <c r="AB255" s="1039"/>
      <c r="AC255" s="1039"/>
      <c r="AD255" s="1039"/>
      <c r="AE255" s="1039"/>
      <c r="AF255" s="1039"/>
      <c r="CT255" s="753"/>
      <c r="CU255" s="753"/>
      <c r="CV255" s="753"/>
      <c r="CW255" s="753"/>
      <c r="CX255" s="753"/>
      <c r="CY255" s="753"/>
      <c r="CZ255" s="753"/>
      <c r="DA255" s="753"/>
      <c r="DB255" s="753"/>
      <c r="DC255" s="753"/>
      <c r="DD255" s="753"/>
      <c r="DE255" s="753"/>
      <c r="DF255" s="753"/>
      <c r="DG255" s="753"/>
      <c r="DH255" s="753"/>
      <c r="DI255" s="753"/>
      <c r="DJ255" s="753"/>
      <c r="DK255" s="753"/>
      <c r="DL255" s="753"/>
      <c r="DM255" s="753"/>
      <c r="DN255" s="753"/>
      <c r="DO255" s="753"/>
      <c r="DP255" s="753"/>
      <c r="DQ255" s="753"/>
      <c r="DR255" s="753"/>
      <c r="DS255" s="776"/>
    </row>
    <row r="256" spans="1:123" s="758" customFormat="1">
      <c r="A256" s="773"/>
      <c r="B256" s="774"/>
      <c r="C256" s="773"/>
      <c r="D256" s="804"/>
      <c r="E256" s="773"/>
      <c r="F256" s="773"/>
      <c r="G256" s="773"/>
      <c r="H256" s="773"/>
      <c r="I256" s="773"/>
      <c r="J256" s="1039"/>
      <c r="K256" s="1039"/>
      <c r="L256" s="1039"/>
      <c r="M256" s="1039"/>
      <c r="N256" s="1039"/>
      <c r="O256" s="1090"/>
      <c r="P256" s="1039"/>
      <c r="Q256" s="1039"/>
      <c r="R256" s="1039"/>
      <c r="S256" s="1039"/>
      <c r="T256" s="1039"/>
      <c r="U256" s="1039"/>
      <c r="V256" s="1039"/>
      <c r="W256" s="1039"/>
      <c r="X256" s="1039"/>
      <c r="Y256" s="1039"/>
      <c r="Z256" s="1039"/>
      <c r="AA256" s="1039"/>
      <c r="AB256" s="1039"/>
      <c r="AC256" s="1039"/>
      <c r="AD256" s="1039"/>
      <c r="AE256" s="1039"/>
      <c r="AF256" s="1039"/>
      <c r="CT256" s="753"/>
      <c r="CU256" s="753"/>
      <c r="CV256" s="753"/>
      <c r="CW256" s="753"/>
      <c r="CX256" s="753"/>
      <c r="CY256" s="753"/>
      <c r="CZ256" s="753"/>
      <c r="DA256" s="753"/>
      <c r="DB256" s="753"/>
      <c r="DC256" s="753"/>
      <c r="DD256" s="753"/>
      <c r="DE256" s="753"/>
      <c r="DF256" s="753"/>
      <c r="DG256" s="753"/>
      <c r="DH256" s="753"/>
      <c r="DI256" s="753"/>
      <c r="DJ256" s="753"/>
      <c r="DK256" s="753"/>
      <c r="DL256" s="753"/>
      <c r="DM256" s="753"/>
      <c r="DN256" s="753"/>
      <c r="DO256" s="753"/>
      <c r="DP256" s="753"/>
      <c r="DQ256" s="753"/>
      <c r="DR256" s="753"/>
      <c r="DS256" s="776"/>
    </row>
    <row r="257" spans="1:123" s="758" customFormat="1">
      <c r="A257" s="784"/>
      <c r="B257" s="819"/>
      <c r="C257" s="804"/>
      <c r="D257" s="804"/>
      <c r="E257" s="773"/>
      <c r="F257" s="773"/>
      <c r="G257" s="773"/>
      <c r="H257" s="773"/>
      <c r="I257" s="780"/>
      <c r="J257" s="1039"/>
      <c r="K257" s="1039"/>
      <c r="L257" s="1039"/>
      <c r="M257" s="1039"/>
      <c r="N257" s="1039"/>
      <c r="O257" s="1090"/>
      <c r="P257" s="1039"/>
      <c r="Q257" s="1039"/>
      <c r="R257" s="1039"/>
      <c r="S257" s="1039"/>
      <c r="T257" s="1039"/>
      <c r="U257" s="1039"/>
      <c r="V257" s="1039"/>
      <c r="W257" s="1039"/>
      <c r="X257" s="1039"/>
      <c r="Y257" s="1039"/>
      <c r="Z257" s="1039"/>
      <c r="AA257" s="1039"/>
      <c r="AB257" s="1039"/>
      <c r="AC257" s="1039"/>
      <c r="AD257" s="1039"/>
      <c r="AE257" s="1039"/>
      <c r="AF257" s="1039"/>
      <c r="CT257" s="753"/>
      <c r="CU257" s="753"/>
      <c r="CV257" s="753"/>
      <c r="CW257" s="753"/>
      <c r="CX257" s="753"/>
      <c r="CY257" s="753"/>
      <c r="CZ257" s="753"/>
      <c r="DA257" s="753"/>
      <c r="DB257" s="753"/>
      <c r="DC257" s="753"/>
      <c r="DD257" s="753"/>
      <c r="DE257" s="753"/>
      <c r="DF257" s="753"/>
      <c r="DG257" s="753"/>
      <c r="DH257" s="753"/>
      <c r="DI257" s="753"/>
      <c r="DJ257" s="753"/>
      <c r="DK257" s="753"/>
      <c r="DL257" s="753"/>
      <c r="DM257" s="753"/>
      <c r="DN257" s="753"/>
      <c r="DO257" s="753"/>
      <c r="DP257" s="753"/>
      <c r="DQ257" s="753"/>
      <c r="DR257" s="753"/>
      <c r="DS257" s="776"/>
    </row>
    <row r="258" spans="1:123" s="758" customFormat="1">
      <c r="A258" s="784"/>
      <c r="B258" s="819"/>
      <c r="C258" s="804"/>
      <c r="D258" s="804"/>
      <c r="E258" s="773"/>
      <c r="F258" s="773"/>
      <c r="G258" s="773"/>
      <c r="H258" s="773"/>
      <c r="I258" s="773"/>
      <c r="J258" s="1039"/>
      <c r="K258" s="1039"/>
      <c r="L258" s="1039"/>
      <c r="M258" s="1039"/>
      <c r="N258" s="1039"/>
      <c r="O258" s="1090"/>
      <c r="P258" s="1039"/>
      <c r="Q258" s="1039"/>
      <c r="R258" s="1039"/>
      <c r="S258" s="1039"/>
      <c r="T258" s="1039"/>
      <c r="U258" s="1039"/>
      <c r="V258" s="1039"/>
      <c r="W258" s="1039"/>
      <c r="X258" s="1039"/>
      <c r="Y258" s="1039"/>
      <c r="Z258" s="1039"/>
      <c r="AA258" s="1039"/>
      <c r="AB258" s="1039"/>
      <c r="AC258" s="1039"/>
      <c r="AD258" s="1039"/>
      <c r="AE258" s="1039"/>
      <c r="AF258" s="1039"/>
      <c r="CT258" s="753"/>
      <c r="CU258" s="753"/>
      <c r="CV258" s="753"/>
      <c r="CW258" s="753"/>
      <c r="CX258" s="753"/>
      <c r="CY258" s="753"/>
      <c r="CZ258" s="753"/>
      <c r="DA258" s="753"/>
      <c r="DB258" s="753"/>
      <c r="DC258" s="753"/>
      <c r="DD258" s="753"/>
      <c r="DE258" s="753"/>
      <c r="DF258" s="753"/>
      <c r="DG258" s="753"/>
      <c r="DH258" s="753"/>
      <c r="DI258" s="753"/>
      <c r="DJ258" s="753"/>
      <c r="DK258" s="753"/>
      <c r="DL258" s="753"/>
      <c r="DM258" s="753"/>
      <c r="DN258" s="753"/>
      <c r="DO258" s="753"/>
      <c r="DP258" s="753"/>
      <c r="DQ258" s="753"/>
      <c r="DR258" s="753"/>
      <c r="DS258" s="776"/>
    </row>
    <row r="259" spans="1:123" s="758" customFormat="1">
      <c r="A259" s="822"/>
      <c r="B259" s="819"/>
      <c r="C259" s="804"/>
      <c r="D259" s="805"/>
      <c r="E259" s="780"/>
      <c r="F259" s="780"/>
      <c r="G259" s="780"/>
      <c r="H259" s="801"/>
      <c r="I259" s="773"/>
      <c r="J259" s="1039"/>
      <c r="K259" s="1039"/>
      <c r="L259" s="1039"/>
      <c r="M259" s="1039"/>
      <c r="N259" s="1039"/>
      <c r="O259" s="1090"/>
      <c r="P259" s="1039"/>
      <c r="Q259" s="1039"/>
      <c r="R259" s="1039"/>
      <c r="S259" s="1039"/>
      <c r="T259" s="1039"/>
      <c r="U259" s="1039"/>
      <c r="V259" s="1039"/>
      <c r="W259" s="1039"/>
      <c r="X259" s="1039"/>
      <c r="Y259" s="1039"/>
      <c r="Z259" s="1039"/>
      <c r="AA259" s="1039"/>
      <c r="AB259" s="1039"/>
      <c r="AC259" s="1039"/>
      <c r="AD259" s="1039"/>
      <c r="AE259" s="1039"/>
      <c r="AF259" s="1039"/>
      <c r="CT259" s="753"/>
      <c r="CU259" s="753"/>
      <c r="CV259" s="753"/>
      <c r="CW259" s="753"/>
      <c r="CX259" s="753"/>
      <c r="CY259" s="753"/>
      <c r="CZ259" s="753"/>
      <c r="DA259" s="753"/>
      <c r="DB259" s="753"/>
      <c r="DC259" s="753"/>
      <c r="DD259" s="753"/>
      <c r="DE259" s="753"/>
      <c r="DF259" s="753"/>
      <c r="DG259" s="753"/>
      <c r="DH259" s="753"/>
      <c r="DI259" s="753"/>
      <c r="DJ259" s="753"/>
      <c r="DK259" s="753"/>
      <c r="DL259" s="753"/>
      <c r="DM259" s="753"/>
      <c r="DN259" s="753"/>
      <c r="DO259" s="753"/>
      <c r="DP259" s="753"/>
      <c r="DQ259" s="753"/>
      <c r="DR259" s="753"/>
      <c r="DS259" s="776"/>
    </row>
    <row r="260" spans="1:123" s="758" customFormat="1">
      <c r="A260" s="822"/>
      <c r="B260" s="780"/>
      <c r="C260" s="804"/>
      <c r="D260" s="805"/>
      <c r="E260" s="780"/>
      <c r="F260" s="780"/>
      <c r="G260" s="780"/>
      <c r="H260" s="780"/>
      <c r="I260" s="780"/>
      <c r="J260" s="1039"/>
      <c r="K260" s="1039"/>
      <c r="L260" s="1039"/>
      <c r="M260" s="1039"/>
      <c r="N260" s="1039"/>
      <c r="O260" s="1090"/>
      <c r="P260" s="1039"/>
      <c r="Q260" s="1039"/>
      <c r="R260" s="1039"/>
      <c r="S260" s="1039"/>
      <c r="T260" s="1039"/>
      <c r="U260" s="1039"/>
      <c r="V260" s="1039"/>
      <c r="W260" s="1039"/>
      <c r="X260" s="1039"/>
      <c r="Y260" s="1039"/>
      <c r="Z260" s="1039"/>
      <c r="AA260" s="1039"/>
      <c r="AB260" s="1039"/>
      <c r="AC260" s="1039"/>
      <c r="AD260" s="1039"/>
      <c r="AE260" s="1039"/>
      <c r="AF260" s="1039"/>
      <c r="CT260" s="753"/>
      <c r="CU260" s="753"/>
      <c r="CV260" s="753"/>
      <c r="CW260" s="753"/>
      <c r="CX260" s="753"/>
      <c r="CY260" s="753"/>
      <c r="CZ260" s="753"/>
      <c r="DA260" s="753"/>
      <c r="DB260" s="753"/>
      <c r="DC260" s="753"/>
      <c r="DD260" s="753"/>
      <c r="DE260" s="753"/>
      <c r="DF260" s="753"/>
      <c r="DG260" s="753"/>
      <c r="DH260" s="753"/>
      <c r="DI260" s="753"/>
      <c r="DJ260" s="753"/>
      <c r="DK260" s="753"/>
      <c r="DL260" s="753"/>
      <c r="DM260" s="753"/>
      <c r="DN260" s="753"/>
      <c r="DO260" s="753"/>
      <c r="DP260" s="753"/>
      <c r="DQ260" s="753"/>
      <c r="DR260" s="753"/>
      <c r="DS260" s="776"/>
    </row>
    <row r="261" spans="1:123" s="758" customFormat="1">
      <c r="A261" s="780"/>
      <c r="B261" s="780"/>
      <c r="C261" s="780"/>
      <c r="D261" s="780"/>
      <c r="E261" s="780"/>
      <c r="F261" s="780"/>
      <c r="G261" s="801"/>
      <c r="H261" s="780"/>
      <c r="I261" s="780"/>
      <c r="J261" s="1039"/>
      <c r="K261" s="1039"/>
      <c r="L261" s="1039"/>
      <c r="M261" s="1039"/>
      <c r="N261" s="1039"/>
      <c r="O261" s="1090"/>
      <c r="P261" s="1039"/>
      <c r="Q261" s="1039"/>
      <c r="R261" s="1039"/>
      <c r="S261" s="1039"/>
      <c r="T261" s="1039"/>
      <c r="U261" s="1039"/>
      <c r="V261" s="1039"/>
      <c r="W261" s="1039"/>
      <c r="X261" s="1039"/>
      <c r="Y261" s="1039"/>
      <c r="Z261" s="1039"/>
      <c r="AA261" s="1039"/>
      <c r="AB261" s="1039"/>
      <c r="AC261" s="1039"/>
      <c r="AD261" s="1039"/>
      <c r="AE261" s="1039"/>
      <c r="AF261" s="1039"/>
      <c r="CT261" s="753"/>
      <c r="CU261" s="753"/>
      <c r="CV261" s="753"/>
      <c r="CW261" s="753"/>
      <c r="CX261" s="753"/>
      <c r="CY261" s="753"/>
      <c r="CZ261" s="753"/>
      <c r="DA261" s="753"/>
      <c r="DB261" s="753"/>
      <c r="DC261" s="753"/>
      <c r="DD261" s="753"/>
      <c r="DE261" s="753"/>
      <c r="DF261" s="753"/>
      <c r="DG261" s="753"/>
      <c r="DH261" s="753"/>
      <c r="DI261" s="753"/>
      <c r="DJ261" s="753"/>
      <c r="DK261" s="753"/>
      <c r="DL261" s="753"/>
      <c r="DM261" s="753"/>
      <c r="DN261" s="753"/>
      <c r="DO261" s="753"/>
      <c r="DP261" s="753"/>
      <c r="DQ261" s="753"/>
      <c r="DR261" s="753"/>
      <c r="DS261" s="776"/>
    </row>
    <row r="262" spans="1:123" s="758" customFormat="1">
      <c r="A262" s="780"/>
      <c r="B262" s="780"/>
      <c r="C262" s="780"/>
      <c r="D262" s="780"/>
      <c r="E262" s="773"/>
      <c r="F262" s="801"/>
      <c r="G262" s="780"/>
      <c r="H262" s="780"/>
      <c r="I262" s="780"/>
      <c r="J262" s="1039"/>
      <c r="K262" s="1039"/>
      <c r="L262" s="1039"/>
      <c r="M262" s="1039"/>
      <c r="N262" s="1039"/>
      <c r="O262" s="1090"/>
      <c r="P262" s="1039"/>
      <c r="Q262" s="1039"/>
      <c r="R262" s="1039"/>
      <c r="S262" s="1039"/>
      <c r="T262" s="1039"/>
      <c r="U262" s="1039"/>
      <c r="V262" s="1039"/>
      <c r="W262" s="1039"/>
      <c r="X262" s="1039"/>
      <c r="Y262" s="1039"/>
      <c r="Z262" s="1039"/>
      <c r="AA262" s="1039"/>
      <c r="AB262" s="1039"/>
      <c r="AC262" s="1039"/>
      <c r="AD262" s="1039"/>
      <c r="AE262" s="1039"/>
      <c r="AF262" s="1039"/>
      <c r="CT262" s="753"/>
      <c r="CU262" s="753"/>
      <c r="CV262" s="753"/>
      <c r="CW262" s="753"/>
      <c r="CX262" s="753"/>
      <c r="CY262" s="753"/>
      <c r="CZ262" s="753"/>
      <c r="DA262" s="753"/>
      <c r="DB262" s="753"/>
      <c r="DC262" s="753"/>
      <c r="DD262" s="753"/>
      <c r="DE262" s="753"/>
      <c r="DF262" s="753"/>
      <c r="DG262" s="753"/>
      <c r="DH262" s="753"/>
      <c r="DI262" s="753"/>
      <c r="DJ262" s="753"/>
      <c r="DK262" s="753"/>
      <c r="DL262" s="753"/>
      <c r="DM262" s="753"/>
      <c r="DN262" s="753"/>
      <c r="DO262" s="753"/>
      <c r="DP262" s="753"/>
      <c r="DQ262" s="753"/>
      <c r="DR262" s="753"/>
      <c r="DS262" s="776"/>
    </row>
    <row r="263" spans="1:123" s="758" customFormat="1">
      <c r="A263" s="780"/>
      <c r="B263" s="780"/>
      <c r="C263" s="780"/>
      <c r="D263" s="780"/>
      <c r="E263" s="773"/>
      <c r="F263" s="773"/>
      <c r="G263" s="780"/>
      <c r="H263" s="780"/>
      <c r="I263" s="780"/>
      <c r="J263" s="1039"/>
      <c r="K263" s="1039"/>
      <c r="L263" s="1039"/>
      <c r="M263" s="1039"/>
      <c r="N263" s="1039"/>
      <c r="O263" s="1090"/>
      <c r="P263" s="1039"/>
      <c r="Q263" s="1039"/>
      <c r="R263" s="1039"/>
      <c r="S263" s="1039"/>
      <c r="T263" s="1039"/>
      <c r="U263" s="1039"/>
      <c r="V263" s="1039"/>
      <c r="W263" s="1039"/>
      <c r="X263" s="1039"/>
      <c r="Y263" s="1039"/>
      <c r="Z263" s="1039"/>
      <c r="AA263" s="1039"/>
      <c r="AB263" s="1039"/>
      <c r="AC263" s="1039"/>
      <c r="AD263" s="1039"/>
      <c r="AE263" s="1039"/>
      <c r="AF263" s="1039"/>
      <c r="CT263" s="753"/>
      <c r="CU263" s="753"/>
      <c r="CV263" s="753"/>
      <c r="CW263" s="753"/>
      <c r="CX263" s="753"/>
      <c r="CY263" s="753"/>
      <c r="CZ263" s="753"/>
      <c r="DA263" s="753"/>
      <c r="DB263" s="753"/>
      <c r="DC263" s="753"/>
      <c r="DD263" s="753"/>
      <c r="DE263" s="753"/>
      <c r="DF263" s="753"/>
      <c r="DG263" s="753"/>
      <c r="DH263" s="753"/>
      <c r="DI263" s="753"/>
      <c r="DJ263" s="753"/>
      <c r="DK263" s="753"/>
      <c r="DL263" s="753"/>
      <c r="DM263" s="753"/>
      <c r="DN263" s="753"/>
      <c r="DO263" s="753"/>
      <c r="DP263" s="753"/>
      <c r="DQ263" s="753"/>
      <c r="DR263" s="753"/>
      <c r="DS263" s="776"/>
    </row>
    <row r="264" spans="1:123" s="758" customFormat="1">
      <c r="A264" s="780"/>
      <c r="B264" s="780"/>
      <c r="C264" s="780"/>
      <c r="D264" s="780"/>
      <c r="E264" s="780"/>
      <c r="F264" s="780"/>
      <c r="G264" s="780"/>
      <c r="H264" s="780"/>
      <c r="I264" s="764"/>
      <c r="J264" s="1039"/>
      <c r="K264" s="1039"/>
      <c r="L264" s="1039"/>
      <c r="M264" s="1039"/>
      <c r="N264" s="1039"/>
      <c r="O264" s="1090"/>
      <c r="P264" s="1039"/>
      <c r="Q264" s="1039"/>
      <c r="R264" s="1039"/>
      <c r="S264" s="1039"/>
      <c r="T264" s="1039"/>
      <c r="U264" s="1039"/>
      <c r="V264" s="1039"/>
      <c r="W264" s="1039"/>
      <c r="X264" s="1039"/>
      <c r="Y264" s="1039"/>
      <c r="Z264" s="1039"/>
      <c r="AA264" s="1039"/>
      <c r="AB264" s="1039"/>
      <c r="AC264" s="1039"/>
      <c r="AD264" s="1039"/>
      <c r="AE264" s="1039"/>
      <c r="AF264" s="1039"/>
      <c r="CT264" s="753"/>
      <c r="CU264" s="753"/>
      <c r="CV264" s="753"/>
      <c r="CW264" s="753"/>
      <c r="CX264" s="753"/>
      <c r="CY264" s="753"/>
      <c r="CZ264" s="753"/>
      <c r="DA264" s="753"/>
      <c r="DB264" s="753"/>
      <c r="DC264" s="753"/>
      <c r="DD264" s="753"/>
      <c r="DE264" s="753"/>
      <c r="DF264" s="753"/>
      <c r="DG264" s="753"/>
      <c r="DH264" s="753"/>
      <c r="DI264" s="753"/>
      <c r="DJ264" s="753"/>
      <c r="DK264" s="753"/>
      <c r="DL264" s="753"/>
      <c r="DM264" s="753"/>
      <c r="DN264" s="753"/>
      <c r="DO264" s="753"/>
      <c r="DP264" s="753"/>
      <c r="DQ264" s="753"/>
      <c r="DR264" s="753"/>
      <c r="DS264" s="776"/>
    </row>
    <row r="265" spans="1:123" s="758" customFormat="1">
      <c r="A265" s="780"/>
      <c r="B265" s="780"/>
      <c r="C265" s="780"/>
      <c r="D265" s="780"/>
      <c r="E265" s="780"/>
      <c r="F265" s="780"/>
      <c r="G265" s="780"/>
      <c r="H265" s="788"/>
      <c r="I265" s="789"/>
      <c r="J265" s="1039"/>
      <c r="K265" s="1039"/>
      <c r="L265" s="1039"/>
      <c r="M265" s="1039"/>
      <c r="N265" s="1039"/>
      <c r="O265" s="1090"/>
      <c r="P265" s="1039"/>
      <c r="Q265" s="1039"/>
      <c r="R265" s="1039"/>
      <c r="S265" s="1039"/>
      <c r="T265" s="1039"/>
      <c r="U265" s="1039"/>
      <c r="V265" s="1039"/>
      <c r="W265" s="1039"/>
      <c r="X265" s="1039"/>
      <c r="Y265" s="1039"/>
      <c r="Z265" s="1039"/>
      <c r="AA265" s="1039"/>
      <c r="AB265" s="1039"/>
      <c r="AC265" s="1039"/>
      <c r="AD265" s="1039"/>
      <c r="AE265" s="1039"/>
      <c r="AF265" s="1039"/>
      <c r="CT265" s="753"/>
      <c r="CU265" s="753"/>
      <c r="CV265" s="753"/>
      <c r="CW265" s="753"/>
      <c r="CX265" s="753"/>
      <c r="CY265" s="753"/>
      <c r="CZ265" s="753"/>
      <c r="DA265" s="753"/>
      <c r="DB265" s="753"/>
      <c r="DC265" s="753"/>
      <c r="DD265" s="753"/>
      <c r="DE265" s="753"/>
      <c r="DF265" s="753"/>
      <c r="DG265" s="753"/>
      <c r="DH265" s="753"/>
      <c r="DI265" s="753"/>
      <c r="DJ265" s="753"/>
      <c r="DK265" s="753"/>
      <c r="DL265" s="753"/>
      <c r="DM265" s="753"/>
      <c r="DN265" s="753"/>
      <c r="DO265" s="753"/>
      <c r="DP265" s="753"/>
      <c r="DQ265" s="753"/>
      <c r="DR265" s="753"/>
      <c r="DS265" s="776"/>
    </row>
    <row r="266" spans="1:123" s="758" customFormat="1">
      <c r="A266" s="820"/>
      <c r="B266" s="753"/>
      <c r="C266" s="780"/>
      <c r="D266" s="780"/>
      <c r="E266" s="773"/>
      <c r="F266" s="773"/>
      <c r="G266" s="773"/>
      <c r="H266" s="788"/>
      <c r="I266" s="790"/>
      <c r="J266" s="1039"/>
      <c r="K266" s="1039"/>
      <c r="L266" s="1039"/>
      <c r="M266" s="1039"/>
      <c r="N266" s="1039"/>
      <c r="O266" s="1090"/>
      <c r="P266" s="1039"/>
      <c r="Q266" s="1039"/>
      <c r="R266" s="1039"/>
      <c r="S266" s="1039"/>
      <c r="T266" s="1039"/>
      <c r="U266" s="1039"/>
      <c r="V266" s="1039"/>
      <c r="W266" s="1039"/>
      <c r="X266" s="1039"/>
      <c r="Y266" s="1039"/>
      <c r="Z266" s="1039"/>
      <c r="AA266" s="1039"/>
      <c r="AB266" s="1039"/>
      <c r="AC266" s="1039"/>
      <c r="AD266" s="1039"/>
      <c r="AE266" s="1039"/>
      <c r="AF266" s="1039"/>
      <c r="CT266" s="753"/>
      <c r="CU266" s="753"/>
      <c r="CV266" s="753"/>
      <c r="CW266" s="753"/>
      <c r="CX266" s="753"/>
      <c r="CY266" s="753"/>
      <c r="CZ266" s="753"/>
      <c r="DA266" s="753"/>
      <c r="DB266" s="753"/>
      <c r="DC266" s="753"/>
      <c r="DD266" s="753"/>
      <c r="DE266" s="753"/>
      <c r="DF266" s="753"/>
      <c r="DG266" s="753"/>
      <c r="DH266" s="753"/>
      <c r="DI266" s="753"/>
      <c r="DJ266" s="753"/>
      <c r="DK266" s="753"/>
      <c r="DL266" s="753"/>
      <c r="DM266" s="753"/>
      <c r="DN266" s="753"/>
      <c r="DO266" s="753"/>
      <c r="DP266" s="753"/>
      <c r="DQ266" s="753"/>
      <c r="DR266" s="753"/>
      <c r="DS266" s="776"/>
    </row>
    <row r="267" spans="1:123" s="758" customFormat="1">
      <c r="A267" s="773"/>
      <c r="B267" s="819"/>
      <c r="C267" s="773"/>
      <c r="D267" s="804"/>
      <c r="E267" s="780"/>
      <c r="F267" s="753"/>
      <c r="G267" s="780"/>
      <c r="H267" s="788"/>
      <c r="I267" s="769"/>
      <c r="J267" s="1039"/>
      <c r="K267" s="1039"/>
      <c r="L267" s="1039"/>
      <c r="M267" s="1039"/>
      <c r="N267" s="1039"/>
      <c r="O267" s="1090"/>
      <c r="P267" s="1039"/>
      <c r="Q267" s="1039"/>
      <c r="R267" s="1039"/>
      <c r="S267" s="1039"/>
      <c r="T267" s="1039"/>
      <c r="U267" s="1039"/>
      <c r="V267" s="1039"/>
      <c r="W267" s="1039"/>
      <c r="X267" s="1039"/>
      <c r="Y267" s="1039"/>
      <c r="Z267" s="1039"/>
      <c r="AA267" s="1039"/>
      <c r="AB267" s="1039"/>
      <c r="AC267" s="1039"/>
      <c r="AD267" s="1039"/>
      <c r="AE267" s="1039"/>
      <c r="AF267" s="1039"/>
      <c r="CT267" s="753"/>
      <c r="CU267" s="753"/>
      <c r="CV267" s="753"/>
      <c r="CW267" s="753"/>
      <c r="CX267" s="753"/>
      <c r="CY267" s="753"/>
      <c r="CZ267" s="753"/>
      <c r="DA267" s="753"/>
      <c r="DB267" s="753"/>
      <c r="DC267" s="753"/>
      <c r="DD267" s="753"/>
      <c r="DE267" s="753"/>
      <c r="DF267" s="753"/>
      <c r="DG267" s="753"/>
      <c r="DH267" s="753"/>
      <c r="DI267" s="753"/>
      <c r="DJ267" s="753"/>
      <c r="DK267" s="753"/>
      <c r="DL267" s="753"/>
      <c r="DM267" s="753"/>
      <c r="DN267" s="753"/>
      <c r="DO267" s="753"/>
      <c r="DP267" s="753"/>
      <c r="DQ267" s="753"/>
      <c r="DR267" s="753"/>
      <c r="DS267" s="776"/>
    </row>
    <row r="268" spans="1:123" s="758" customFormat="1">
      <c r="A268" s="784"/>
      <c r="B268" s="774"/>
      <c r="C268" s="804"/>
      <c r="D268" s="804"/>
      <c r="E268" s="780"/>
      <c r="F268" s="753"/>
      <c r="G268" s="773"/>
      <c r="H268" s="788"/>
      <c r="I268" s="769"/>
      <c r="J268" s="1039"/>
      <c r="K268" s="1039"/>
      <c r="L268" s="1039"/>
      <c r="M268" s="1039"/>
      <c r="N268" s="1039"/>
      <c r="O268" s="1090"/>
      <c r="P268" s="1039"/>
      <c r="Q268" s="1039"/>
      <c r="R268" s="1039"/>
      <c r="S268" s="1039"/>
      <c r="T268" s="1039"/>
      <c r="U268" s="1039"/>
      <c r="V268" s="1039"/>
      <c r="W268" s="1039"/>
      <c r="X268" s="1039"/>
      <c r="Y268" s="1039"/>
      <c r="Z268" s="1039"/>
      <c r="AA268" s="1039"/>
      <c r="AB268" s="1039"/>
      <c r="AC268" s="1039"/>
      <c r="AD268" s="1039"/>
      <c r="AE268" s="1039"/>
      <c r="AF268" s="1039"/>
      <c r="CT268" s="753"/>
      <c r="CU268" s="753"/>
      <c r="CV268" s="753"/>
      <c r="CW268" s="753"/>
      <c r="CX268" s="753"/>
      <c r="CY268" s="753"/>
      <c r="CZ268" s="753"/>
      <c r="DA268" s="753"/>
      <c r="DB268" s="753"/>
      <c r="DC268" s="753"/>
      <c r="DD268" s="753"/>
      <c r="DE268" s="753"/>
      <c r="DF268" s="753"/>
      <c r="DG268" s="753"/>
      <c r="DH268" s="753"/>
      <c r="DI268" s="753"/>
      <c r="DJ268" s="753"/>
      <c r="DK268" s="753"/>
      <c r="DL268" s="753"/>
      <c r="DM268" s="753"/>
      <c r="DN268" s="753"/>
      <c r="DO268" s="753"/>
      <c r="DP268" s="753"/>
      <c r="DQ268" s="753"/>
      <c r="DR268" s="753"/>
      <c r="DS268" s="776"/>
    </row>
    <row r="269" spans="1:123" s="758" customFormat="1">
      <c r="A269" s="784"/>
      <c r="B269" s="774"/>
      <c r="C269" s="804"/>
      <c r="D269" s="804"/>
      <c r="E269" s="780"/>
      <c r="F269" s="753"/>
      <c r="G269" s="780"/>
      <c r="H269" s="780"/>
      <c r="I269" s="780"/>
      <c r="J269" s="1039"/>
      <c r="K269" s="1039"/>
      <c r="L269" s="1039"/>
      <c r="M269" s="1039"/>
      <c r="N269" s="1039"/>
      <c r="O269" s="1090"/>
      <c r="P269" s="1039"/>
      <c r="Q269" s="1039"/>
      <c r="R269" s="1039"/>
      <c r="S269" s="1039"/>
      <c r="T269" s="1039"/>
      <c r="U269" s="1039"/>
      <c r="V269" s="1039"/>
      <c r="W269" s="1039"/>
      <c r="X269" s="1039"/>
      <c r="Y269" s="1039"/>
      <c r="Z269" s="1039"/>
      <c r="AA269" s="1039"/>
      <c r="AB269" s="1039"/>
      <c r="AC269" s="1039"/>
      <c r="AD269" s="1039"/>
      <c r="AE269" s="1039"/>
      <c r="AF269" s="1039"/>
      <c r="CT269" s="753"/>
      <c r="CU269" s="753"/>
      <c r="CV269" s="753"/>
      <c r="CW269" s="753"/>
      <c r="CX269" s="753"/>
      <c r="CY269" s="753"/>
      <c r="CZ269" s="753"/>
      <c r="DA269" s="753"/>
      <c r="DB269" s="753"/>
      <c r="DC269" s="753"/>
      <c r="DD269" s="753"/>
      <c r="DE269" s="753"/>
      <c r="DF269" s="753"/>
      <c r="DG269" s="753"/>
      <c r="DH269" s="753"/>
      <c r="DI269" s="753"/>
      <c r="DJ269" s="753"/>
      <c r="DK269" s="753"/>
      <c r="DL269" s="753"/>
      <c r="DM269" s="753"/>
      <c r="DN269" s="753"/>
      <c r="DO269" s="753"/>
      <c r="DP269" s="753"/>
      <c r="DQ269" s="753"/>
      <c r="DR269" s="753"/>
      <c r="DS269" s="776"/>
    </row>
    <row r="270" spans="1:123" s="758" customFormat="1">
      <c r="A270" s="784"/>
      <c r="B270" s="780"/>
      <c r="C270" s="804"/>
      <c r="D270" s="804"/>
      <c r="E270" s="780"/>
      <c r="F270" s="780"/>
      <c r="G270" s="780"/>
      <c r="H270" s="821"/>
      <c r="I270" s="773"/>
      <c r="J270" s="1039"/>
      <c r="K270" s="1039"/>
      <c r="L270" s="1039"/>
      <c r="M270" s="1039"/>
      <c r="N270" s="1039"/>
      <c r="O270" s="1090"/>
      <c r="P270" s="1039"/>
      <c r="Q270" s="1039"/>
      <c r="R270" s="1039"/>
      <c r="S270" s="1039"/>
      <c r="T270" s="1039"/>
      <c r="U270" s="1039"/>
      <c r="V270" s="1039"/>
      <c r="W270" s="1039"/>
      <c r="X270" s="1039"/>
      <c r="Y270" s="1039"/>
      <c r="Z270" s="1039"/>
      <c r="AA270" s="1039"/>
      <c r="AB270" s="1039"/>
      <c r="AC270" s="1039"/>
      <c r="AD270" s="1039"/>
      <c r="AE270" s="1039"/>
      <c r="AF270" s="1039"/>
      <c r="CT270" s="753"/>
      <c r="CU270" s="753"/>
      <c r="CV270" s="753"/>
      <c r="CW270" s="753"/>
      <c r="CX270" s="753"/>
      <c r="CY270" s="753"/>
      <c r="CZ270" s="753"/>
      <c r="DA270" s="753"/>
      <c r="DB270" s="753"/>
      <c r="DC270" s="753"/>
      <c r="DD270" s="753"/>
      <c r="DE270" s="753"/>
      <c r="DF270" s="753"/>
      <c r="DG270" s="753"/>
      <c r="DH270" s="753"/>
      <c r="DI270" s="753"/>
      <c r="DJ270" s="753"/>
      <c r="DK270" s="753"/>
      <c r="DL270" s="753"/>
      <c r="DM270" s="753"/>
      <c r="DN270" s="753"/>
      <c r="DO270" s="753"/>
      <c r="DP270" s="753"/>
      <c r="DQ270" s="753"/>
      <c r="DR270" s="753"/>
      <c r="DS270" s="776"/>
    </row>
    <row r="271" spans="1:123" s="758" customFormat="1">
      <c r="A271" s="780"/>
      <c r="B271" s="773"/>
      <c r="C271" s="780"/>
      <c r="D271" s="780"/>
      <c r="E271" s="780"/>
      <c r="F271" s="780"/>
      <c r="G271" s="780"/>
      <c r="H271" s="780"/>
      <c r="I271" s="780"/>
      <c r="J271" s="1039"/>
      <c r="K271" s="1039"/>
      <c r="L271" s="1039"/>
      <c r="M271" s="1039"/>
      <c r="N271" s="1039"/>
      <c r="O271" s="1090"/>
      <c r="P271" s="1039"/>
      <c r="Q271" s="1039"/>
      <c r="R271" s="1039"/>
      <c r="S271" s="1039"/>
      <c r="T271" s="1039"/>
      <c r="U271" s="1039"/>
      <c r="V271" s="1039"/>
      <c r="W271" s="1039"/>
      <c r="X271" s="1039"/>
      <c r="Y271" s="1039"/>
      <c r="Z271" s="1039"/>
      <c r="AA271" s="1039"/>
      <c r="AB271" s="1039"/>
      <c r="AC271" s="1039"/>
      <c r="AD271" s="1039"/>
      <c r="AE271" s="1039"/>
      <c r="AF271" s="1039"/>
      <c r="CT271" s="753"/>
      <c r="CU271" s="753"/>
      <c r="CV271" s="753"/>
      <c r="CW271" s="753"/>
      <c r="CX271" s="753"/>
      <c r="CY271" s="753"/>
      <c r="CZ271" s="753"/>
      <c r="DA271" s="753"/>
      <c r="DB271" s="753"/>
      <c r="DC271" s="753"/>
      <c r="DD271" s="753"/>
      <c r="DE271" s="753"/>
      <c r="DF271" s="753"/>
      <c r="DG271" s="753"/>
      <c r="DH271" s="753"/>
      <c r="DI271" s="753"/>
      <c r="DJ271" s="753"/>
      <c r="DK271" s="753"/>
      <c r="DL271" s="753"/>
      <c r="DM271" s="753"/>
      <c r="DN271" s="753"/>
      <c r="DO271" s="753"/>
      <c r="DP271" s="753"/>
      <c r="DQ271" s="753"/>
      <c r="DR271" s="753"/>
      <c r="DS271" s="776"/>
    </row>
    <row r="272" spans="1:123" s="758" customFormat="1">
      <c r="A272" s="773"/>
      <c r="B272" s="819"/>
      <c r="C272" s="773"/>
      <c r="D272" s="804"/>
      <c r="E272" s="780"/>
      <c r="F272" s="780"/>
      <c r="G272" s="780"/>
      <c r="H272" s="780"/>
      <c r="I272" s="780"/>
      <c r="J272" s="1039"/>
      <c r="K272" s="1039"/>
      <c r="L272" s="1039"/>
      <c r="M272" s="1039"/>
      <c r="N272" s="1039"/>
      <c r="O272" s="1090"/>
      <c r="P272" s="1039"/>
      <c r="Q272" s="1039"/>
      <c r="R272" s="1039"/>
      <c r="S272" s="1039"/>
      <c r="T272" s="1039"/>
      <c r="U272" s="1039"/>
      <c r="V272" s="1039"/>
      <c r="W272" s="1039"/>
      <c r="X272" s="1039"/>
      <c r="Y272" s="1039"/>
      <c r="Z272" s="1039"/>
      <c r="AA272" s="1039"/>
      <c r="AB272" s="1039"/>
      <c r="AC272" s="1039"/>
      <c r="AD272" s="1039"/>
      <c r="AE272" s="1039"/>
      <c r="AF272" s="1039"/>
      <c r="CT272" s="753"/>
      <c r="CU272" s="753"/>
      <c r="CV272" s="753"/>
      <c r="CW272" s="753"/>
      <c r="CX272" s="753"/>
      <c r="CY272" s="753"/>
      <c r="CZ272" s="753"/>
      <c r="DA272" s="753"/>
      <c r="DB272" s="753"/>
      <c r="DC272" s="753"/>
      <c r="DD272" s="753"/>
      <c r="DE272" s="753"/>
      <c r="DF272" s="753"/>
      <c r="DG272" s="753"/>
      <c r="DH272" s="753"/>
      <c r="DI272" s="753"/>
      <c r="DJ272" s="753"/>
      <c r="DK272" s="753"/>
      <c r="DL272" s="753"/>
      <c r="DM272" s="753"/>
      <c r="DN272" s="753"/>
      <c r="DO272" s="753"/>
      <c r="DP272" s="753"/>
      <c r="DQ272" s="753"/>
      <c r="DR272" s="753"/>
      <c r="DS272" s="776"/>
    </row>
    <row r="273" spans="1:124" s="758" customFormat="1">
      <c r="A273" s="798"/>
      <c r="B273" s="774"/>
      <c r="C273" s="804"/>
      <c r="D273" s="804"/>
      <c r="E273" s="780"/>
      <c r="F273" s="780"/>
      <c r="G273" s="780"/>
      <c r="H273" s="780"/>
      <c r="I273" s="780"/>
      <c r="J273" s="1039"/>
      <c r="K273" s="1039"/>
      <c r="L273" s="1039"/>
      <c r="M273" s="1039"/>
      <c r="N273" s="1039"/>
      <c r="O273" s="1090"/>
      <c r="P273" s="1039"/>
      <c r="Q273" s="1039"/>
      <c r="R273" s="1039"/>
      <c r="S273" s="1039"/>
      <c r="T273" s="1039"/>
      <c r="U273" s="1039"/>
      <c r="V273" s="1039"/>
      <c r="W273" s="1039"/>
      <c r="X273" s="1039"/>
      <c r="Y273" s="1039"/>
      <c r="Z273" s="1039"/>
      <c r="AA273" s="1039"/>
      <c r="AB273" s="1039"/>
      <c r="AC273" s="1039"/>
      <c r="AD273" s="1039"/>
      <c r="AE273" s="1039"/>
      <c r="AF273" s="1039"/>
      <c r="CT273" s="753"/>
      <c r="CU273" s="753"/>
      <c r="CV273" s="753"/>
      <c r="CW273" s="753"/>
      <c r="CX273" s="753"/>
      <c r="CY273" s="753"/>
      <c r="CZ273" s="753"/>
      <c r="DA273" s="753"/>
      <c r="DB273" s="753"/>
      <c r="DC273" s="753"/>
      <c r="DD273" s="753"/>
      <c r="DE273" s="753"/>
      <c r="DF273" s="753"/>
      <c r="DG273" s="753"/>
      <c r="DH273" s="753"/>
      <c r="DI273" s="753"/>
      <c r="DJ273" s="753"/>
      <c r="DK273" s="753"/>
      <c r="DL273" s="753"/>
      <c r="DM273" s="753"/>
      <c r="DN273" s="753"/>
      <c r="DO273" s="753"/>
      <c r="DP273" s="753"/>
      <c r="DQ273" s="753"/>
      <c r="DR273" s="753"/>
      <c r="DS273" s="776"/>
    </row>
    <row r="274" spans="1:124" s="758" customFormat="1">
      <c r="A274" s="784"/>
      <c r="B274" s="819"/>
      <c r="C274" s="804"/>
      <c r="D274" s="804"/>
      <c r="E274" s="780"/>
      <c r="F274" s="780"/>
      <c r="G274" s="780"/>
      <c r="H274" s="780"/>
      <c r="I274" s="780"/>
      <c r="J274" s="1039"/>
      <c r="K274" s="1039"/>
      <c r="L274" s="1039"/>
      <c r="M274" s="1039"/>
      <c r="N274" s="1039"/>
      <c r="O274" s="1090"/>
      <c r="P274" s="1039"/>
      <c r="Q274" s="1039"/>
      <c r="R274" s="1039"/>
      <c r="S274" s="1039"/>
      <c r="T274" s="1039"/>
      <c r="U274" s="1039"/>
      <c r="V274" s="1039"/>
      <c r="W274" s="1039"/>
      <c r="X274" s="1039"/>
      <c r="Y274" s="1039"/>
      <c r="Z274" s="1039"/>
      <c r="AA274" s="1039"/>
      <c r="AB274" s="1039"/>
      <c r="AC274" s="1039"/>
      <c r="AD274" s="1039"/>
      <c r="AE274" s="1039"/>
      <c r="AF274" s="1039"/>
      <c r="CT274" s="753"/>
      <c r="CU274" s="753"/>
      <c r="CV274" s="753"/>
      <c r="CW274" s="753"/>
      <c r="CX274" s="753"/>
      <c r="CY274" s="753"/>
      <c r="CZ274" s="753"/>
      <c r="DA274" s="753"/>
      <c r="DB274" s="753"/>
      <c r="DC274" s="753"/>
      <c r="DD274" s="753"/>
      <c r="DE274" s="753"/>
      <c r="DF274" s="753"/>
      <c r="DG274" s="753"/>
      <c r="DH274" s="753"/>
      <c r="DI274" s="753"/>
      <c r="DJ274" s="753"/>
      <c r="DK274" s="753"/>
      <c r="DL274" s="753"/>
      <c r="DM274" s="753"/>
      <c r="DN274" s="753"/>
      <c r="DO274" s="753"/>
      <c r="DP274" s="753"/>
      <c r="DQ274" s="753"/>
      <c r="DR274" s="753"/>
      <c r="DS274" s="776"/>
    </row>
    <row r="275" spans="1:124" s="758" customFormat="1">
      <c r="A275" s="784"/>
      <c r="B275" s="819"/>
      <c r="C275" s="804"/>
      <c r="D275" s="804"/>
      <c r="E275" s="780"/>
      <c r="F275" s="780"/>
      <c r="G275" s="780"/>
      <c r="H275" s="780"/>
      <c r="I275" s="773"/>
      <c r="J275" s="1039"/>
      <c r="K275" s="1039"/>
      <c r="L275" s="1039"/>
      <c r="M275" s="1039"/>
      <c r="N275" s="1039"/>
      <c r="O275" s="1090"/>
      <c r="P275" s="1039"/>
      <c r="Q275" s="1039"/>
      <c r="R275" s="1039"/>
      <c r="S275" s="1039"/>
      <c r="T275" s="1039"/>
      <c r="U275" s="1039"/>
      <c r="V275" s="1039"/>
      <c r="W275" s="1039"/>
      <c r="X275" s="1039"/>
      <c r="Y275" s="1039"/>
      <c r="Z275" s="1039"/>
      <c r="AA275" s="1039"/>
      <c r="AB275" s="1039"/>
      <c r="AC275" s="1039"/>
      <c r="AD275" s="1039"/>
      <c r="AE275" s="1039"/>
      <c r="AF275" s="1039"/>
      <c r="CT275" s="753"/>
      <c r="CU275" s="753"/>
      <c r="CV275" s="753"/>
      <c r="CW275" s="753"/>
      <c r="CX275" s="753"/>
      <c r="CY275" s="753"/>
      <c r="CZ275" s="753"/>
      <c r="DA275" s="753"/>
      <c r="DB275" s="753"/>
      <c r="DC275" s="753"/>
      <c r="DD275" s="753"/>
      <c r="DE275" s="753"/>
      <c r="DF275" s="753"/>
      <c r="DG275" s="753"/>
      <c r="DH275" s="753"/>
      <c r="DI275" s="753"/>
      <c r="DJ275" s="753"/>
      <c r="DK275" s="753"/>
      <c r="DL275" s="753"/>
      <c r="DM275" s="753"/>
      <c r="DN275" s="753"/>
      <c r="DO275" s="753"/>
      <c r="DP275" s="753"/>
      <c r="DQ275" s="753"/>
      <c r="DR275" s="753"/>
      <c r="DS275" s="776"/>
    </row>
    <row r="276" spans="1:124" s="758" customFormat="1">
      <c r="A276" s="822"/>
      <c r="B276" s="819"/>
      <c r="C276" s="804"/>
      <c r="D276" s="805"/>
      <c r="E276" s="773"/>
      <c r="F276" s="780"/>
      <c r="G276" s="780"/>
      <c r="H276" s="801"/>
      <c r="I276" s="773"/>
      <c r="J276" s="1039"/>
      <c r="K276" s="1039"/>
      <c r="L276" s="1039"/>
      <c r="M276" s="1039"/>
      <c r="N276" s="1039"/>
      <c r="O276" s="1090"/>
      <c r="P276" s="1039"/>
      <c r="Q276" s="1039"/>
      <c r="R276" s="1039"/>
      <c r="S276" s="1039"/>
      <c r="T276" s="1039"/>
      <c r="U276" s="1039"/>
      <c r="V276" s="1039"/>
      <c r="W276" s="1039"/>
      <c r="X276" s="1039"/>
      <c r="Y276" s="1039"/>
      <c r="Z276" s="1039"/>
      <c r="AA276" s="1039"/>
      <c r="AB276" s="1039"/>
      <c r="AC276" s="1039"/>
      <c r="AD276" s="1039"/>
      <c r="AE276" s="1039"/>
      <c r="AF276" s="1039"/>
      <c r="CT276" s="753"/>
      <c r="CU276" s="753"/>
      <c r="CV276" s="753"/>
      <c r="CW276" s="753"/>
      <c r="CX276" s="753"/>
      <c r="CY276" s="753"/>
      <c r="CZ276" s="753"/>
      <c r="DA276" s="753"/>
      <c r="DB276" s="753"/>
      <c r="DC276" s="753"/>
      <c r="DD276" s="753"/>
      <c r="DE276" s="753"/>
      <c r="DF276" s="753"/>
      <c r="DG276" s="753"/>
      <c r="DH276" s="753"/>
      <c r="DI276" s="753"/>
      <c r="DJ276" s="753"/>
      <c r="DK276" s="753"/>
      <c r="DL276" s="753"/>
      <c r="DM276" s="753"/>
      <c r="DN276" s="753"/>
      <c r="DO276" s="753"/>
      <c r="DP276" s="753"/>
      <c r="DQ276" s="753"/>
      <c r="DR276" s="753"/>
      <c r="DS276" s="776"/>
    </row>
    <row r="277" spans="1:124" s="758" customFormat="1">
      <c r="A277" s="822"/>
      <c r="B277" s="780"/>
      <c r="C277" s="804"/>
      <c r="D277" s="805"/>
      <c r="E277" s="780"/>
      <c r="F277" s="780"/>
      <c r="G277" s="780"/>
      <c r="H277" s="780"/>
      <c r="I277" s="780"/>
      <c r="J277" s="1039"/>
      <c r="K277" s="1039"/>
      <c r="L277" s="1039"/>
      <c r="M277" s="1039"/>
      <c r="N277" s="1039"/>
      <c r="O277" s="1090"/>
      <c r="P277" s="1039"/>
      <c r="Q277" s="1039"/>
      <c r="R277" s="1039"/>
      <c r="S277" s="1039"/>
      <c r="T277" s="1039"/>
      <c r="U277" s="1039"/>
      <c r="V277" s="1039"/>
      <c r="W277" s="1039"/>
      <c r="X277" s="1039"/>
      <c r="Y277" s="1039"/>
      <c r="Z277" s="1039"/>
      <c r="AA277" s="1039"/>
      <c r="AB277" s="1039"/>
      <c r="AC277" s="1039"/>
      <c r="AD277" s="1039"/>
      <c r="AE277" s="1039"/>
      <c r="AF277" s="1039"/>
      <c r="CT277" s="753"/>
      <c r="CU277" s="753"/>
      <c r="CV277" s="753"/>
      <c r="CW277" s="753"/>
      <c r="CX277" s="753"/>
      <c r="CY277" s="753"/>
      <c r="CZ277" s="753"/>
      <c r="DA277" s="753"/>
      <c r="DB277" s="753"/>
      <c r="DC277" s="753"/>
      <c r="DD277" s="753"/>
      <c r="DE277" s="753"/>
      <c r="DF277" s="753"/>
      <c r="DG277" s="753"/>
      <c r="DH277" s="753"/>
      <c r="DI277" s="753"/>
      <c r="DJ277" s="753"/>
      <c r="DK277" s="753"/>
      <c r="DL277" s="753"/>
      <c r="DM277" s="753"/>
      <c r="DN277" s="753"/>
      <c r="DO277" s="753"/>
      <c r="DP277" s="753"/>
      <c r="DQ277" s="753"/>
      <c r="DR277" s="753"/>
      <c r="DS277" s="776"/>
    </row>
    <row r="278" spans="1:124" s="758" customFormat="1">
      <c r="A278" s="780"/>
      <c r="B278" s="780"/>
      <c r="C278" s="780"/>
      <c r="D278" s="780"/>
      <c r="E278" s="780"/>
      <c r="F278" s="780"/>
      <c r="G278" s="801"/>
      <c r="H278" s="780"/>
      <c r="I278" s="780"/>
      <c r="J278" s="1039"/>
      <c r="K278" s="1039"/>
      <c r="L278" s="1039"/>
      <c r="M278" s="1039"/>
      <c r="N278" s="1039"/>
      <c r="O278" s="1090"/>
      <c r="P278" s="1039"/>
      <c r="Q278" s="1039"/>
      <c r="R278" s="1039"/>
      <c r="S278" s="1039"/>
      <c r="T278" s="1039"/>
      <c r="U278" s="1039"/>
      <c r="V278" s="1039"/>
      <c r="W278" s="1039"/>
      <c r="X278" s="1039"/>
      <c r="Y278" s="1039"/>
      <c r="Z278" s="1039"/>
      <c r="AA278" s="1039"/>
      <c r="AB278" s="1039"/>
      <c r="AC278" s="1039"/>
      <c r="AD278" s="1039"/>
      <c r="AE278" s="1039"/>
      <c r="AF278" s="1039"/>
      <c r="CT278" s="753"/>
      <c r="CU278" s="753"/>
      <c r="CV278" s="753"/>
      <c r="CW278" s="753"/>
      <c r="CX278" s="753"/>
      <c r="CY278" s="753"/>
      <c r="CZ278" s="753"/>
      <c r="DA278" s="753"/>
      <c r="DB278" s="753"/>
      <c r="DC278" s="753"/>
      <c r="DD278" s="753"/>
      <c r="DE278" s="753"/>
      <c r="DF278" s="753"/>
      <c r="DG278" s="753"/>
      <c r="DH278" s="753"/>
      <c r="DI278" s="753"/>
      <c r="DJ278" s="753"/>
      <c r="DK278" s="753"/>
      <c r="DL278" s="753"/>
      <c r="DM278" s="753"/>
      <c r="DN278" s="753"/>
      <c r="DO278" s="753"/>
      <c r="DP278" s="753"/>
      <c r="DQ278" s="753"/>
      <c r="DR278" s="753"/>
      <c r="DS278" s="776"/>
    </row>
    <row r="279" spans="1:124" s="758" customFormat="1">
      <c r="A279" s="773"/>
      <c r="B279" s="774"/>
      <c r="C279" s="780"/>
      <c r="D279" s="780"/>
      <c r="E279" s="780"/>
      <c r="F279" s="801"/>
      <c r="G279" s="780"/>
      <c r="H279" s="780"/>
      <c r="I279" s="780"/>
      <c r="J279" s="1039"/>
      <c r="K279" s="1039"/>
      <c r="L279" s="1039"/>
      <c r="M279" s="1039"/>
      <c r="N279" s="1039"/>
      <c r="O279" s="1090"/>
      <c r="P279" s="1039"/>
      <c r="Q279" s="1039"/>
      <c r="R279" s="1039"/>
      <c r="S279" s="1039"/>
      <c r="T279" s="1039"/>
      <c r="U279" s="1039"/>
      <c r="V279" s="1039"/>
      <c r="W279" s="1039"/>
      <c r="X279" s="1039"/>
      <c r="Y279" s="1039"/>
      <c r="Z279" s="1039"/>
      <c r="AA279" s="1039"/>
      <c r="AB279" s="1039"/>
      <c r="AC279" s="1039"/>
      <c r="AD279" s="1039"/>
      <c r="AE279" s="1039"/>
      <c r="AF279" s="1039"/>
      <c r="CT279" s="753"/>
      <c r="CU279" s="753"/>
      <c r="CV279" s="753"/>
      <c r="CW279" s="753"/>
      <c r="CX279" s="753"/>
      <c r="CY279" s="753"/>
      <c r="CZ279" s="753"/>
      <c r="DA279" s="753"/>
      <c r="DB279" s="753"/>
      <c r="DC279" s="753"/>
      <c r="DD279" s="753"/>
      <c r="DE279" s="753"/>
      <c r="DF279" s="753"/>
      <c r="DG279" s="753"/>
      <c r="DH279" s="753"/>
      <c r="DI279" s="753"/>
      <c r="DJ279" s="753"/>
      <c r="DK279" s="753"/>
      <c r="DL279" s="753"/>
      <c r="DM279" s="753"/>
      <c r="DN279" s="753"/>
      <c r="DO279" s="753"/>
      <c r="DP279" s="753"/>
      <c r="DQ279" s="753"/>
      <c r="DR279" s="753"/>
      <c r="DS279" s="776"/>
    </row>
    <row r="280" spans="1:124" s="758" customFormat="1">
      <c r="A280" s="784"/>
      <c r="B280" s="774"/>
      <c r="C280" s="804"/>
      <c r="D280" s="804"/>
      <c r="E280" s="753"/>
      <c r="F280" s="780"/>
      <c r="G280" s="780"/>
      <c r="H280" s="780"/>
      <c r="I280" s="773"/>
      <c r="J280" s="1039"/>
      <c r="K280" s="1039"/>
      <c r="L280" s="1039"/>
      <c r="M280" s="1039"/>
      <c r="N280" s="1039"/>
      <c r="O280" s="1090"/>
      <c r="P280" s="1039"/>
      <c r="Q280" s="1039"/>
      <c r="R280" s="1039"/>
      <c r="S280" s="1039"/>
      <c r="T280" s="1039"/>
      <c r="U280" s="1039"/>
      <c r="V280" s="1039"/>
      <c r="W280" s="1039"/>
      <c r="X280" s="1039"/>
      <c r="Y280" s="1039"/>
      <c r="Z280" s="1039"/>
      <c r="AA280" s="1039"/>
      <c r="AB280" s="1039"/>
      <c r="AC280" s="1039"/>
      <c r="AD280" s="1039"/>
      <c r="AE280" s="1039"/>
      <c r="AF280" s="1039"/>
      <c r="CT280" s="753"/>
      <c r="CU280" s="753"/>
      <c r="CV280" s="753"/>
      <c r="CW280" s="753"/>
      <c r="CX280" s="753"/>
      <c r="CY280" s="753"/>
      <c r="CZ280" s="753"/>
      <c r="DA280" s="753"/>
      <c r="DB280" s="753"/>
      <c r="DC280" s="753"/>
      <c r="DD280" s="753"/>
      <c r="DE280" s="753"/>
      <c r="DF280" s="753"/>
      <c r="DG280" s="753"/>
      <c r="DH280" s="753"/>
      <c r="DI280" s="753"/>
      <c r="DJ280" s="753"/>
      <c r="DK280" s="753"/>
      <c r="DL280" s="753"/>
      <c r="DM280" s="753"/>
      <c r="DN280" s="753"/>
      <c r="DO280" s="753"/>
      <c r="DP280" s="753"/>
      <c r="DQ280" s="753"/>
      <c r="DR280" s="753"/>
      <c r="DS280" s="776"/>
    </row>
    <row r="281" spans="1:124" s="758" customFormat="1">
      <c r="A281" s="784"/>
      <c r="B281" s="780"/>
      <c r="C281" s="804"/>
      <c r="D281" s="804"/>
      <c r="E281" s="753"/>
      <c r="F281" s="753"/>
      <c r="G281" s="780"/>
      <c r="H281" s="821"/>
      <c r="I281" s="780"/>
      <c r="J281" s="1039"/>
      <c r="K281" s="1039"/>
      <c r="L281" s="1039"/>
      <c r="M281" s="1039"/>
      <c r="N281" s="1039"/>
      <c r="O281" s="1090"/>
      <c r="P281" s="1039"/>
      <c r="Q281" s="1039"/>
      <c r="R281" s="1039"/>
      <c r="S281" s="1039"/>
      <c r="T281" s="1039"/>
      <c r="U281" s="1039"/>
      <c r="V281" s="1039"/>
      <c r="W281" s="1039"/>
      <c r="X281" s="1039"/>
      <c r="Y281" s="1039"/>
      <c r="Z281" s="1039"/>
      <c r="AA281" s="1039"/>
      <c r="AB281" s="1039"/>
      <c r="AC281" s="1039"/>
      <c r="AD281" s="1039"/>
      <c r="AE281" s="1039"/>
      <c r="AF281" s="1039"/>
      <c r="CT281" s="753"/>
      <c r="CU281" s="753"/>
      <c r="CV281" s="753"/>
      <c r="CW281" s="753"/>
      <c r="CX281" s="753"/>
      <c r="CY281" s="753"/>
      <c r="CZ281" s="753"/>
      <c r="DA281" s="753"/>
      <c r="DB281" s="753"/>
      <c r="DC281" s="753"/>
      <c r="DD281" s="753"/>
      <c r="DE281" s="753"/>
      <c r="DF281" s="753"/>
      <c r="DG281" s="753"/>
      <c r="DH281" s="753"/>
      <c r="DI281" s="753"/>
      <c r="DJ281" s="753"/>
      <c r="DK281" s="753"/>
      <c r="DL281" s="753"/>
      <c r="DM281" s="753"/>
      <c r="DN281" s="753"/>
      <c r="DO281" s="753"/>
      <c r="DP281" s="753"/>
      <c r="DQ281" s="753"/>
      <c r="DR281" s="753"/>
      <c r="DS281" s="776"/>
    </row>
    <row r="282" spans="1:124" s="758" customFormat="1">
      <c r="A282" s="780"/>
      <c r="B282" s="773"/>
      <c r="C282" s="780"/>
      <c r="D282" s="780"/>
      <c r="E282" s="780"/>
      <c r="F282" s="780"/>
      <c r="G282" s="780"/>
      <c r="H282" s="780"/>
      <c r="I282" s="780"/>
      <c r="J282" s="1039"/>
      <c r="K282" s="1039"/>
      <c r="L282" s="1039"/>
      <c r="M282" s="1039"/>
      <c r="N282" s="1039"/>
      <c r="O282" s="1090"/>
      <c r="P282" s="1039"/>
      <c r="Q282" s="1039"/>
      <c r="R282" s="1039"/>
      <c r="S282" s="1039"/>
      <c r="T282" s="1039"/>
      <c r="U282" s="1039"/>
      <c r="V282" s="1039"/>
      <c r="W282" s="1039"/>
      <c r="X282" s="1039"/>
      <c r="Y282" s="1039"/>
      <c r="Z282" s="1039"/>
      <c r="AA282" s="1039"/>
      <c r="AB282" s="1039"/>
      <c r="AC282" s="1039"/>
      <c r="AD282" s="1039"/>
      <c r="AE282" s="1039"/>
      <c r="AF282" s="1039"/>
      <c r="CT282" s="753"/>
      <c r="CU282" s="753"/>
      <c r="CV282" s="753"/>
      <c r="CW282" s="753"/>
      <c r="CX282" s="753"/>
      <c r="CY282" s="753"/>
      <c r="CZ282" s="753"/>
      <c r="DA282" s="753"/>
      <c r="DB282" s="753"/>
      <c r="DC282" s="753"/>
      <c r="DD282" s="753"/>
      <c r="DE282" s="753"/>
      <c r="DF282" s="753"/>
      <c r="DG282" s="753"/>
      <c r="DH282" s="753"/>
      <c r="DI282" s="753"/>
      <c r="DJ282" s="753"/>
      <c r="DK282" s="753"/>
      <c r="DL282" s="753"/>
      <c r="DM282" s="753"/>
      <c r="DN282" s="753"/>
      <c r="DO282" s="753"/>
      <c r="DP282" s="753"/>
      <c r="DQ282" s="753"/>
      <c r="DR282" s="753"/>
      <c r="DS282" s="776"/>
    </row>
    <row r="283" spans="1:124" s="758" customFormat="1">
      <c r="A283" s="773"/>
      <c r="B283" s="768"/>
      <c r="C283" s="773"/>
      <c r="D283" s="804"/>
      <c r="E283" s="753"/>
      <c r="F283" s="753"/>
      <c r="G283" s="780"/>
      <c r="H283" s="780"/>
      <c r="I283" s="780"/>
      <c r="J283" s="1039"/>
      <c r="K283" s="1039"/>
      <c r="L283" s="1039"/>
      <c r="M283" s="1039"/>
      <c r="N283" s="1039"/>
      <c r="O283" s="1090"/>
      <c r="P283" s="1039"/>
      <c r="Q283" s="1039"/>
      <c r="R283" s="1039"/>
      <c r="S283" s="1039"/>
      <c r="T283" s="1039"/>
      <c r="U283" s="1039"/>
      <c r="V283" s="1039"/>
      <c r="W283" s="1039"/>
      <c r="X283" s="1039"/>
      <c r="Y283" s="1039"/>
      <c r="Z283" s="1039"/>
      <c r="AA283" s="1039"/>
      <c r="AB283" s="1039"/>
      <c r="AC283" s="1039"/>
      <c r="AD283" s="1039"/>
      <c r="AE283" s="1039"/>
      <c r="AF283" s="1039"/>
      <c r="CT283" s="753"/>
      <c r="CU283" s="753"/>
      <c r="CV283" s="753"/>
      <c r="CW283" s="753"/>
      <c r="CX283" s="753"/>
      <c r="CY283" s="753"/>
      <c r="CZ283" s="753"/>
      <c r="DA283" s="753"/>
      <c r="DB283" s="753"/>
      <c r="DC283" s="753"/>
      <c r="DD283" s="753"/>
      <c r="DE283" s="753"/>
      <c r="DF283" s="753"/>
      <c r="DG283" s="753"/>
      <c r="DH283" s="753"/>
      <c r="DI283" s="753"/>
      <c r="DJ283" s="753"/>
      <c r="DK283" s="753"/>
      <c r="DL283" s="753"/>
      <c r="DM283" s="753"/>
      <c r="DN283" s="753"/>
      <c r="DO283" s="753"/>
      <c r="DP283" s="753"/>
      <c r="DQ283" s="753"/>
      <c r="DR283" s="753"/>
      <c r="DS283" s="776"/>
      <c r="DT283" s="775"/>
    </row>
    <row r="284" spans="1:124" s="758" customFormat="1">
      <c r="A284" s="784"/>
      <c r="B284" s="774"/>
      <c r="C284" s="804"/>
      <c r="D284" s="804"/>
      <c r="E284" s="753"/>
      <c r="F284" s="753"/>
      <c r="G284" s="780"/>
      <c r="H284" s="780"/>
      <c r="I284" s="780"/>
      <c r="J284" s="1039"/>
      <c r="K284" s="1039"/>
      <c r="L284" s="1039"/>
      <c r="M284" s="1039"/>
      <c r="N284" s="1039"/>
      <c r="O284" s="1090"/>
      <c r="P284" s="1039"/>
      <c r="Q284" s="1039"/>
      <c r="R284" s="1039"/>
      <c r="S284" s="1039"/>
      <c r="T284" s="1039"/>
      <c r="U284" s="1039"/>
      <c r="V284" s="1039"/>
      <c r="W284" s="1039"/>
      <c r="X284" s="1039"/>
      <c r="Y284" s="1039"/>
      <c r="Z284" s="1039"/>
      <c r="AA284" s="1039"/>
      <c r="AB284" s="1039"/>
      <c r="AC284" s="1039"/>
      <c r="AD284" s="1039"/>
      <c r="AE284" s="1039"/>
      <c r="AF284" s="1039"/>
      <c r="CT284" s="753"/>
      <c r="CU284" s="753"/>
      <c r="CV284" s="753"/>
      <c r="CW284" s="753"/>
      <c r="CX284" s="753"/>
      <c r="CY284" s="753"/>
      <c r="CZ284" s="753"/>
      <c r="DA284" s="753"/>
      <c r="DB284" s="753"/>
      <c r="DC284" s="753"/>
      <c r="DD284" s="753"/>
      <c r="DE284" s="753"/>
      <c r="DF284" s="753"/>
      <c r="DG284" s="753"/>
      <c r="DH284" s="753"/>
      <c r="DI284" s="753"/>
      <c r="DJ284" s="753"/>
      <c r="DK284" s="753"/>
      <c r="DL284" s="753"/>
      <c r="DM284" s="753"/>
      <c r="DN284" s="753"/>
      <c r="DO284" s="753"/>
      <c r="DP284" s="753"/>
      <c r="DQ284" s="753"/>
      <c r="DR284" s="753"/>
      <c r="DS284" s="776"/>
      <c r="DT284" s="775"/>
    </row>
    <row r="285" spans="1:124" s="758" customFormat="1">
      <c r="A285" s="784"/>
      <c r="B285" s="774"/>
      <c r="C285" s="804"/>
      <c r="D285" s="804"/>
      <c r="E285" s="753"/>
      <c r="F285" s="753"/>
      <c r="G285" s="780"/>
      <c r="H285" s="780"/>
      <c r="I285" s="780"/>
      <c r="J285" s="1039"/>
      <c r="K285" s="1039"/>
      <c r="L285" s="1039"/>
      <c r="M285" s="1039"/>
      <c r="N285" s="1039"/>
      <c r="O285" s="1090"/>
      <c r="P285" s="1039"/>
      <c r="Q285" s="1039"/>
      <c r="R285" s="1039"/>
      <c r="S285" s="1039"/>
      <c r="T285" s="1039"/>
      <c r="U285" s="1039"/>
      <c r="V285" s="1039"/>
      <c r="W285" s="1039"/>
      <c r="X285" s="1039"/>
      <c r="Y285" s="1039"/>
      <c r="Z285" s="1039"/>
      <c r="AA285" s="1039"/>
      <c r="AB285" s="1039"/>
      <c r="AC285" s="1039"/>
      <c r="AD285" s="1039"/>
      <c r="AE285" s="1039"/>
      <c r="AF285" s="1039"/>
      <c r="CT285" s="753"/>
      <c r="CU285" s="753"/>
      <c r="CV285" s="753"/>
      <c r="CW285" s="753"/>
      <c r="CX285" s="753"/>
      <c r="CY285" s="753"/>
      <c r="CZ285" s="753"/>
      <c r="DA285" s="753"/>
      <c r="DB285" s="753"/>
      <c r="DC285" s="753"/>
      <c r="DD285" s="753"/>
      <c r="DE285" s="753"/>
      <c r="DF285" s="753"/>
      <c r="DG285" s="753"/>
      <c r="DH285" s="753"/>
      <c r="DI285" s="753"/>
      <c r="DJ285" s="753"/>
      <c r="DK285" s="753"/>
      <c r="DL285" s="753"/>
      <c r="DM285" s="753"/>
      <c r="DN285" s="753"/>
      <c r="DO285" s="753"/>
      <c r="DP285" s="753"/>
      <c r="DQ285" s="753"/>
      <c r="DR285" s="753"/>
      <c r="DS285" s="776"/>
      <c r="DT285" s="775"/>
    </row>
    <row r="286" spans="1:124" s="758" customFormat="1">
      <c r="A286" s="784"/>
      <c r="B286" s="774"/>
      <c r="C286" s="804"/>
      <c r="D286" s="804"/>
      <c r="E286" s="753"/>
      <c r="F286" s="753"/>
      <c r="G286" s="780"/>
      <c r="H286" s="780"/>
      <c r="I286" s="780"/>
      <c r="J286" s="1039"/>
      <c r="K286" s="1039"/>
      <c r="L286" s="1039"/>
      <c r="M286" s="1039"/>
      <c r="N286" s="1039"/>
      <c r="O286" s="1090"/>
      <c r="P286" s="1039"/>
      <c r="Q286" s="1039"/>
      <c r="R286" s="1039"/>
      <c r="S286" s="1039"/>
      <c r="T286" s="1039"/>
      <c r="U286" s="1039"/>
      <c r="V286" s="1039"/>
      <c r="W286" s="1039"/>
      <c r="X286" s="1039"/>
      <c r="Y286" s="1039"/>
      <c r="Z286" s="1039"/>
      <c r="AA286" s="1039"/>
      <c r="AB286" s="1039"/>
      <c r="AC286" s="1039"/>
      <c r="AD286" s="1039"/>
      <c r="AE286" s="1039"/>
      <c r="AF286" s="1039"/>
      <c r="CT286" s="753"/>
      <c r="CU286" s="753"/>
      <c r="CV286" s="753"/>
      <c r="CW286" s="753"/>
      <c r="CX286" s="753"/>
      <c r="CY286" s="753"/>
      <c r="CZ286" s="753"/>
      <c r="DA286" s="753"/>
      <c r="DB286" s="753"/>
      <c r="DC286" s="753"/>
      <c r="DD286" s="753"/>
      <c r="DE286" s="753"/>
      <c r="DF286" s="753"/>
      <c r="DG286" s="753"/>
      <c r="DH286" s="753"/>
      <c r="DI286" s="753"/>
      <c r="DJ286" s="753"/>
      <c r="DK286" s="753"/>
      <c r="DL286" s="753"/>
      <c r="DM286" s="753"/>
      <c r="DN286" s="753"/>
      <c r="DO286" s="753"/>
      <c r="DP286" s="753"/>
      <c r="DQ286" s="753"/>
      <c r="DR286" s="753"/>
      <c r="DS286" s="776"/>
      <c r="DT286" s="775"/>
    </row>
    <row r="287" spans="1:124" s="758" customFormat="1">
      <c r="A287" s="784"/>
      <c r="B287" s="780"/>
      <c r="C287" s="804"/>
      <c r="D287" s="804"/>
      <c r="E287" s="753"/>
      <c r="F287" s="753"/>
      <c r="G287" s="780"/>
      <c r="H287" s="821"/>
      <c r="I287" s="780"/>
      <c r="J287" s="1039"/>
      <c r="K287" s="1039"/>
      <c r="L287" s="1039"/>
      <c r="M287" s="1039"/>
      <c r="N287" s="1039"/>
      <c r="O287" s="1090"/>
      <c r="P287" s="1039"/>
      <c r="Q287" s="1039"/>
      <c r="R287" s="1039"/>
      <c r="S287" s="1039"/>
      <c r="T287" s="1039"/>
      <c r="U287" s="1039"/>
      <c r="V287" s="1039"/>
      <c r="W287" s="1039"/>
      <c r="X287" s="1039"/>
      <c r="Y287" s="1039"/>
      <c r="Z287" s="1039"/>
      <c r="AA287" s="1039"/>
      <c r="AB287" s="1039"/>
      <c r="AC287" s="1039"/>
      <c r="AD287" s="1039"/>
      <c r="AE287" s="1039"/>
      <c r="AF287" s="1039"/>
      <c r="CT287" s="753"/>
      <c r="CU287" s="753"/>
      <c r="CV287" s="753"/>
      <c r="CW287" s="753"/>
      <c r="CX287" s="753"/>
      <c r="CY287" s="753"/>
      <c r="CZ287" s="753"/>
      <c r="DA287" s="753"/>
      <c r="DB287" s="753"/>
      <c r="DC287" s="753"/>
      <c r="DD287" s="753"/>
      <c r="DE287" s="753"/>
      <c r="DF287" s="753"/>
      <c r="DG287" s="753"/>
      <c r="DH287" s="753"/>
      <c r="DI287" s="753"/>
      <c r="DJ287" s="753"/>
      <c r="DK287" s="753"/>
      <c r="DL287" s="753"/>
      <c r="DM287" s="753"/>
      <c r="DN287" s="753"/>
      <c r="DO287" s="753"/>
      <c r="DP287" s="753"/>
      <c r="DQ287" s="753"/>
      <c r="DR287" s="753"/>
      <c r="DS287" s="776"/>
      <c r="DT287" s="775"/>
    </row>
    <row r="288" spans="1:124" s="758" customFormat="1">
      <c r="A288" s="780"/>
      <c r="B288" s="780"/>
      <c r="C288" s="780"/>
      <c r="D288" s="780"/>
      <c r="E288" s="780"/>
      <c r="F288" s="780"/>
      <c r="G288" s="780"/>
      <c r="H288" s="780"/>
      <c r="I288" s="780"/>
      <c r="J288" s="1039"/>
      <c r="K288" s="1039"/>
      <c r="L288" s="1039"/>
      <c r="M288" s="1039"/>
      <c r="N288" s="1039"/>
      <c r="O288" s="1090"/>
      <c r="P288" s="1039"/>
      <c r="Q288" s="1039"/>
      <c r="R288" s="1039"/>
      <c r="S288" s="1039"/>
      <c r="T288" s="1039"/>
      <c r="U288" s="1039"/>
      <c r="V288" s="1039"/>
      <c r="W288" s="1039"/>
      <c r="X288" s="1039"/>
      <c r="Y288" s="1039"/>
      <c r="Z288" s="1039"/>
      <c r="AA288" s="1039"/>
      <c r="AB288" s="1039"/>
      <c r="AC288" s="1039"/>
      <c r="AD288" s="1039"/>
      <c r="AE288" s="1039"/>
      <c r="AF288" s="1039"/>
      <c r="CT288" s="753"/>
      <c r="CU288" s="753"/>
      <c r="CV288" s="753"/>
      <c r="CW288" s="753"/>
      <c r="CX288" s="753"/>
      <c r="CY288" s="753"/>
      <c r="CZ288" s="753"/>
      <c r="DA288" s="753"/>
      <c r="DB288" s="753"/>
      <c r="DC288" s="753"/>
      <c r="DD288" s="753"/>
      <c r="DE288" s="753"/>
      <c r="DF288" s="753"/>
      <c r="DG288" s="753"/>
      <c r="DH288" s="753"/>
      <c r="DI288" s="753"/>
      <c r="DJ288" s="753"/>
      <c r="DK288" s="753"/>
      <c r="DL288" s="753"/>
      <c r="DM288" s="753"/>
      <c r="DN288" s="753"/>
      <c r="DO288" s="753"/>
      <c r="DP288" s="753"/>
      <c r="DQ288" s="753"/>
      <c r="DR288" s="753"/>
      <c r="DS288" s="776"/>
      <c r="DT288" s="775"/>
    </row>
    <row r="289" spans="1:124" s="758" customFormat="1">
      <c r="A289" s="780"/>
      <c r="B289" s="780"/>
      <c r="C289" s="780"/>
      <c r="D289" s="780"/>
      <c r="E289" s="780"/>
      <c r="F289" s="780"/>
      <c r="G289" s="780"/>
      <c r="H289" s="780"/>
      <c r="I289" s="780"/>
      <c r="J289" s="1039"/>
      <c r="K289" s="1039"/>
      <c r="L289" s="1039"/>
      <c r="M289" s="1039"/>
      <c r="N289" s="1039"/>
      <c r="O289" s="1090"/>
      <c r="P289" s="1039"/>
      <c r="Q289" s="1039"/>
      <c r="R289" s="1039"/>
      <c r="S289" s="1039"/>
      <c r="T289" s="1039"/>
      <c r="U289" s="1039"/>
      <c r="V289" s="1039"/>
      <c r="W289" s="1039"/>
      <c r="X289" s="1039"/>
      <c r="Y289" s="1039"/>
      <c r="Z289" s="1039"/>
      <c r="AA289" s="1039"/>
      <c r="AB289" s="1039"/>
      <c r="AC289" s="1039"/>
      <c r="AD289" s="1039"/>
      <c r="AE289" s="1039"/>
      <c r="AF289" s="1039"/>
      <c r="CT289" s="753"/>
      <c r="CU289" s="753"/>
      <c r="CV289" s="753"/>
      <c r="CW289" s="753"/>
      <c r="CX289" s="753"/>
      <c r="CY289" s="753"/>
      <c r="CZ289" s="753"/>
      <c r="DA289" s="753"/>
      <c r="DB289" s="753"/>
      <c r="DC289" s="753"/>
      <c r="DD289" s="753"/>
      <c r="DE289" s="753"/>
      <c r="DF289" s="753"/>
      <c r="DG289" s="753"/>
      <c r="DH289" s="753"/>
      <c r="DI289" s="753"/>
      <c r="DJ289" s="753"/>
      <c r="DK289" s="753"/>
      <c r="DL289" s="753"/>
      <c r="DM289" s="753"/>
      <c r="DN289" s="753"/>
      <c r="DO289" s="753"/>
      <c r="DP289" s="753"/>
      <c r="DQ289" s="753"/>
      <c r="DR289" s="753"/>
      <c r="DS289" s="776"/>
      <c r="DT289" s="775"/>
    </row>
    <row r="290" spans="1:124" s="758" customFormat="1">
      <c r="A290" s="792"/>
      <c r="B290" s="780"/>
      <c r="C290" s="780"/>
      <c r="D290" s="780"/>
      <c r="E290" s="780"/>
      <c r="F290" s="780"/>
      <c r="G290" s="780"/>
      <c r="H290" s="780"/>
      <c r="I290" s="780"/>
      <c r="J290" s="1039"/>
      <c r="K290" s="1039"/>
      <c r="L290" s="1039"/>
      <c r="M290" s="1039"/>
      <c r="N290" s="1039"/>
      <c r="O290" s="1090"/>
      <c r="P290" s="1039"/>
      <c r="Q290" s="1039"/>
      <c r="R290" s="1039"/>
      <c r="S290" s="1039"/>
      <c r="T290" s="1039"/>
      <c r="U290" s="1039"/>
      <c r="V290" s="1039"/>
      <c r="W290" s="1039"/>
      <c r="X290" s="1039"/>
      <c r="Y290" s="1039"/>
      <c r="Z290" s="1039"/>
      <c r="AA290" s="1039"/>
      <c r="AB290" s="1039"/>
      <c r="AC290" s="1039"/>
      <c r="AD290" s="1039"/>
      <c r="AE290" s="1039"/>
      <c r="AF290" s="1039"/>
      <c r="CT290" s="753"/>
      <c r="CU290" s="753"/>
      <c r="CV290" s="753"/>
      <c r="CW290" s="753"/>
      <c r="CX290" s="753"/>
      <c r="CY290" s="753"/>
      <c r="CZ290" s="753"/>
      <c r="DA290" s="753"/>
      <c r="DB290" s="753"/>
      <c r="DC290" s="753"/>
      <c r="DD290" s="753"/>
      <c r="DE290" s="753"/>
      <c r="DF290" s="753"/>
      <c r="DG290" s="753"/>
      <c r="DH290" s="753"/>
      <c r="DI290" s="753"/>
      <c r="DJ290" s="753"/>
      <c r="DK290" s="753"/>
      <c r="DL290" s="753"/>
      <c r="DM290" s="753"/>
      <c r="DN290" s="753"/>
      <c r="DO290" s="753"/>
      <c r="DP290" s="753"/>
      <c r="DQ290" s="753"/>
      <c r="DR290" s="753"/>
      <c r="DS290" s="776"/>
      <c r="DT290" s="775"/>
    </row>
    <row r="291" spans="1:124" s="758" customFormat="1">
      <c r="A291" s="780"/>
      <c r="B291" s="780"/>
      <c r="C291" s="780"/>
      <c r="D291" s="780"/>
      <c r="E291" s="780"/>
      <c r="F291" s="780"/>
      <c r="G291" s="780"/>
      <c r="H291" s="780"/>
      <c r="I291" s="780"/>
      <c r="J291" s="1039"/>
      <c r="K291" s="1039"/>
      <c r="L291" s="1039"/>
      <c r="M291" s="1039"/>
      <c r="N291" s="1039"/>
      <c r="O291" s="1090"/>
      <c r="P291" s="1039"/>
      <c r="Q291" s="1039"/>
      <c r="R291" s="1039"/>
      <c r="S291" s="1039"/>
      <c r="T291" s="1039"/>
      <c r="U291" s="1039"/>
      <c r="V291" s="1039"/>
      <c r="W291" s="1039"/>
      <c r="X291" s="1039"/>
      <c r="Y291" s="1039"/>
      <c r="Z291" s="1039"/>
      <c r="AA291" s="1039"/>
      <c r="AB291" s="1039"/>
      <c r="AC291" s="1039"/>
      <c r="AD291" s="1039"/>
      <c r="AE291" s="1039"/>
      <c r="AF291" s="1039"/>
      <c r="CT291" s="753"/>
      <c r="CU291" s="753"/>
      <c r="CV291" s="753"/>
      <c r="CW291" s="753"/>
      <c r="CX291" s="753"/>
      <c r="CY291" s="753"/>
      <c r="CZ291" s="753"/>
      <c r="DA291" s="753"/>
      <c r="DB291" s="753"/>
      <c r="DC291" s="753"/>
      <c r="DD291" s="753"/>
      <c r="DE291" s="753"/>
      <c r="DF291" s="753"/>
      <c r="DG291" s="753"/>
      <c r="DH291" s="753"/>
      <c r="DI291" s="753"/>
      <c r="DJ291" s="753"/>
      <c r="DK291" s="753"/>
      <c r="DL291" s="753"/>
      <c r="DM291" s="753"/>
      <c r="DN291" s="753"/>
      <c r="DO291" s="753"/>
      <c r="DP291" s="753"/>
      <c r="DQ291" s="753"/>
      <c r="DR291" s="753"/>
      <c r="DS291" s="776"/>
      <c r="DT291" s="775"/>
    </row>
    <row r="292" spans="1:124" s="758" customFormat="1">
      <c r="A292" s="780"/>
      <c r="B292" s="780"/>
      <c r="C292" s="780"/>
      <c r="D292" s="780"/>
      <c r="E292" s="780"/>
      <c r="F292" s="780"/>
      <c r="G292" s="780"/>
      <c r="H292" s="780"/>
      <c r="I292" s="780"/>
      <c r="J292" s="1039"/>
      <c r="K292" s="1039"/>
      <c r="L292" s="1039"/>
      <c r="M292" s="1039"/>
      <c r="N292" s="1039"/>
      <c r="O292" s="1090"/>
      <c r="P292" s="1039"/>
      <c r="Q292" s="1039"/>
      <c r="R292" s="1039"/>
      <c r="S292" s="1039"/>
      <c r="T292" s="1039"/>
      <c r="U292" s="1039"/>
      <c r="V292" s="1039"/>
      <c r="W292" s="1039"/>
      <c r="X292" s="1039"/>
      <c r="Y292" s="1039"/>
      <c r="Z292" s="1039"/>
      <c r="AA292" s="1039"/>
      <c r="AB292" s="1039"/>
      <c r="AC292" s="1039"/>
      <c r="AD292" s="1039"/>
      <c r="AE292" s="1039"/>
      <c r="AF292" s="1039"/>
      <c r="CT292" s="753"/>
      <c r="CU292" s="753"/>
      <c r="CV292" s="753"/>
      <c r="CW292" s="753"/>
      <c r="CX292" s="753"/>
      <c r="CY292" s="753"/>
      <c r="CZ292" s="753"/>
      <c r="DA292" s="753"/>
      <c r="DB292" s="753"/>
      <c r="DC292" s="753"/>
      <c r="DD292" s="753"/>
      <c r="DE292" s="753"/>
      <c r="DF292" s="753"/>
      <c r="DG292" s="753"/>
      <c r="DH292" s="753"/>
      <c r="DI292" s="753"/>
      <c r="DJ292" s="753"/>
      <c r="DK292" s="753"/>
      <c r="DL292" s="753"/>
      <c r="DM292" s="753"/>
      <c r="DN292" s="753"/>
      <c r="DO292" s="753"/>
      <c r="DP292" s="753"/>
      <c r="DQ292" s="753"/>
      <c r="DR292" s="753"/>
      <c r="DS292" s="776"/>
      <c r="DT292" s="775"/>
    </row>
    <row r="293" spans="1:124" s="758" customFormat="1">
      <c r="A293" s="780"/>
      <c r="B293" s="780"/>
      <c r="C293" s="780"/>
      <c r="D293" s="780"/>
      <c r="E293" s="780"/>
      <c r="F293" s="780"/>
      <c r="G293" s="780"/>
      <c r="H293" s="780"/>
      <c r="I293" s="780"/>
      <c r="J293" s="1039"/>
      <c r="K293" s="1039"/>
      <c r="L293" s="1039"/>
      <c r="M293" s="1039"/>
      <c r="N293" s="1039"/>
      <c r="O293" s="1090"/>
      <c r="P293" s="1039"/>
      <c r="Q293" s="1039"/>
      <c r="R293" s="1039"/>
      <c r="S293" s="1039"/>
      <c r="T293" s="1039"/>
      <c r="U293" s="1039"/>
      <c r="V293" s="1039"/>
      <c r="W293" s="1039"/>
      <c r="X293" s="1039"/>
      <c r="Y293" s="1039"/>
      <c r="Z293" s="1039"/>
      <c r="AA293" s="1039"/>
      <c r="AB293" s="1039"/>
      <c r="AC293" s="1039"/>
      <c r="AD293" s="1039"/>
      <c r="AE293" s="1039"/>
      <c r="AF293" s="1039"/>
      <c r="CT293" s="753"/>
      <c r="CU293" s="753"/>
      <c r="CV293" s="753"/>
      <c r="CW293" s="753"/>
      <c r="CX293" s="753"/>
      <c r="CY293" s="753"/>
      <c r="CZ293" s="753"/>
      <c r="DA293" s="753"/>
      <c r="DB293" s="753"/>
      <c r="DC293" s="753"/>
      <c r="DD293" s="753"/>
      <c r="DE293" s="753"/>
      <c r="DF293" s="753"/>
      <c r="DG293" s="753"/>
      <c r="DH293" s="753"/>
      <c r="DI293" s="753"/>
      <c r="DJ293" s="753"/>
      <c r="DK293" s="753"/>
      <c r="DL293" s="753"/>
      <c r="DM293" s="753"/>
      <c r="DN293" s="753"/>
      <c r="DO293" s="753"/>
      <c r="DP293" s="753"/>
      <c r="DQ293" s="753"/>
      <c r="DR293" s="753"/>
      <c r="DS293" s="776"/>
      <c r="DT293" s="775"/>
    </row>
    <row r="294" spans="1:124" s="758" customFormat="1">
      <c r="A294" s="780"/>
      <c r="B294" s="780"/>
      <c r="C294" s="780"/>
      <c r="D294" s="780"/>
      <c r="E294" s="780"/>
      <c r="F294" s="780"/>
      <c r="G294" s="780"/>
      <c r="H294" s="780"/>
      <c r="I294" s="780"/>
      <c r="J294" s="1039"/>
      <c r="K294" s="1039"/>
      <c r="L294" s="1039"/>
      <c r="M294" s="1039"/>
      <c r="N294" s="1039"/>
      <c r="O294" s="1090"/>
      <c r="P294" s="1039"/>
      <c r="Q294" s="1039"/>
      <c r="R294" s="1039"/>
      <c r="S294" s="1039"/>
      <c r="T294" s="1039"/>
      <c r="U294" s="1039"/>
      <c r="V294" s="1039"/>
      <c r="W294" s="1039"/>
      <c r="X294" s="1039"/>
      <c r="Y294" s="1039"/>
      <c r="Z294" s="1039"/>
      <c r="AA294" s="1039"/>
      <c r="AB294" s="1039"/>
      <c r="AC294" s="1039"/>
      <c r="AD294" s="1039"/>
      <c r="AE294" s="1039"/>
      <c r="AF294" s="1039"/>
      <c r="CT294" s="753"/>
      <c r="CU294" s="753"/>
      <c r="CV294" s="753"/>
      <c r="CW294" s="753"/>
      <c r="CX294" s="753"/>
      <c r="CY294" s="753"/>
      <c r="CZ294" s="753"/>
      <c r="DA294" s="753"/>
      <c r="DB294" s="753"/>
      <c r="DC294" s="753"/>
      <c r="DD294" s="753"/>
      <c r="DE294" s="753"/>
      <c r="DF294" s="753"/>
      <c r="DG294" s="753"/>
      <c r="DH294" s="753"/>
      <c r="DI294" s="753"/>
      <c r="DJ294" s="753"/>
      <c r="DK294" s="753"/>
      <c r="DL294" s="753"/>
      <c r="DM294" s="753"/>
      <c r="DN294" s="753"/>
      <c r="DO294" s="753"/>
      <c r="DP294" s="753"/>
      <c r="DQ294" s="753"/>
      <c r="DR294" s="753"/>
      <c r="DS294" s="776"/>
      <c r="DT294" s="775"/>
    </row>
    <row r="295" spans="1:124" s="758" customFormat="1">
      <c r="A295" s="780"/>
      <c r="B295" s="780"/>
      <c r="C295" s="780"/>
      <c r="D295" s="780"/>
      <c r="E295" s="780"/>
      <c r="F295" s="780"/>
      <c r="G295" s="780"/>
      <c r="H295" s="780"/>
      <c r="I295" s="780"/>
      <c r="J295" s="1039"/>
      <c r="K295" s="1039"/>
      <c r="L295" s="1039"/>
      <c r="M295" s="1039"/>
      <c r="N295" s="1039"/>
      <c r="O295" s="1090"/>
      <c r="P295" s="1039"/>
      <c r="Q295" s="1039"/>
      <c r="R295" s="1039"/>
      <c r="S295" s="1039"/>
      <c r="T295" s="1039"/>
      <c r="U295" s="1039"/>
      <c r="V295" s="1039"/>
      <c r="W295" s="1039"/>
      <c r="X295" s="1039"/>
      <c r="Y295" s="1039"/>
      <c r="Z295" s="1039"/>
      <c r="AA295" s="1039"/>
      <c r="AB295" s="1039"/>
      <c r="AC295" s="1039"/>
      <c r="AD295" s="1039"/>
      <c r="AE295" s="1039"/>
      <c r="AF295" s="1039"/>
      <c r="CT295" s="753"/>
      <c r="CU295" s="753"/>
      <c r="CV295" s="753"/>
      <c r="CW295" s="753"/>
      <c r="CX295" s="753"/>
      <c r="CY295" s="753"/>
      <c r="CZ295" s="753"/>
      <c r="DA295" s="753"/>
      <c r="DB295" s="753"/>
      <c r="DC295" s="753"/>
      <c r="DD295" s="753"/>
      <c r="DE295" s="753"/>
      <c r="DF295" s="753"/>
      <c r="DG295" s="753"/>
      <c r="DH295" s="753"/>
      <c r="DI295" s="753"/>
      <c r="DJ295" s="753"/>
      <c r="DK295" s="753"/>
      <c r="DL295" s="753"/>
      <c r="DM295" s="753"/>
      <c r="DN295" s="753"/>
      <c r="DO295" s="753"/>
      <c r="DP295" s="753"/>
      <c r="DQ295" s="753"/>
      <c r="DR295" s="753"/>
      <c r="DS295" s="776"/>
      <c r="DT295" s="775"/>
    </row>
    <row r="296" spans="1:124" s="758" customFormat="1">
      <c r="A296" s="780"/>
      <c r="B296" s="780"/>
      <c r="C296" s="780"/>
      <c r="D296" s="780"/>
      <c r="E296" s="780"/>
      <c r="F296" s="780"/>
      <c r="G296" s="780"/>
      <c r="H296" s="780"/>
      <c r="I296" s="780"/>
      <c r="J296" s="1039"/>
      <c r="K296" s="1039"/>
      <c r="L296" s="1039"/>
      <c r="M296" s="1039"/>
      <c r="N296" s="1039"/>
      <c r="O296" s="1090"/>
      <c r="P296" s="1039"/>
      <c r="Q296" s="1039"/>
      <c r="R296" s="1039"/>
      <c r="S296" s="1039"/>
      <c r="T296" s="1039"/>
      <c r="U296" s="1039"/>
      <c r="V296" s="1039"/>
      <c r="W296" s="1039"/>
      <c r="X296" s="1039"/>
      <c r="Y296" s="1039"/>
      <c r="Z296" s="1039"/>
      <c r="AA296" s="1039"/>
      <c r="AB296" s="1039"/>
      <c r="AC296" s="1039"/>
      <c r="AD296" s="1039"/>
      <c r="AE296" s="1039"/>
      <c r="AF296" s="1039"/>
      <c r="CT296" s="753"/>
      <c r="CU296" s="753"/>
      <c r="CV296" s="753"/>
      <c r="CW296" s="753"/>
      <c r="CX296" s="753"/>
      <c r="CY296" s="753"/>
      <c r="CZ296" s="753"/>
      <c r="DA296" s="753"/>
      <c r="DB296" s="753"/>
      <c r="DC296" s="753"/>
      <c r="DD296" s="753"/>
      <c r="DE296" s="753"/>
      <c r="DF296" s="753"/>
      <c r="DG296" s="753"/>
      <c r="DH296" s="753"/>
      <c r="DI296" s="753"/>
      <c r="DJ296" s="753"/>
      <c r="DK296" s="753"/>
      <c r="DL296" s="753"/>
      <c r="DM296" s="753"/>
      <c r="DN296" s="753"/>
      <c r="DO296" s="753"/>
      <c r="DP296" s="753"/>
      <c r="DQ296" s="753"/>
      <c r="DR296" s="753"/>
      <c r="DS296" s="776"/>
      <c r="DT296" s="775"/>
    </row>
    <row r="297" spans="1:124" s="758" customFormat="1">
      <c r="A297" s="780"/>
      <c r="B297" s="780"/>
      <c r="C297" s="780"/>
      <c r="D297" s="780"/>
      <c r="E297" s="780"/>
      <c r="F297" s="780"/>
      <c r="G297" s="780"/>
      <c r="H297" s="780"/>
      <c r="I297" s="780"/>
      <c r="J297" s="1039"/>
      <c r="K297" s="1039"/>
      <c r="L297" s="1039"/>
      <c r="M297" s="1039"/>
      <c r="N297" s="1039"/>
      <c r="O297" s="1090"/>
      <c r="P297" s="1039"/>
      <c r="Q297" s="1039"/>
      <c r="R297" s="1039"/>
      <c r="S297" s="1039"/>
      <c r="T297" s="1039"/>
      <c r="U297" s="1039"/>
      <c r="V297" s="1039"/>
      <c r="W297" s="1039"/>
      <c r="X297" s="1039"/>
      <c r="Y297" s="1039"/>
      <c r="Z297" s="1039"/>
      <c r="AA297" s="1039"/>
      <c r="AB297" s="1039"/>
      <c r="AC297" s="1039"/>
      <c r="AD297" s="1039"/>
      <c r="AE297" s="1039"/>
      <c r="AF297" s="1039"/>
      <c r="CT297" s="753"/>
      <c r="CU297" s="753"/>
      <c r="CV297" s="753"/>
      <c r="CW297" s="753"/>
      <c r="CX297" s="753"/>
      <c r="CY297" s="753"/>
      <c r="CZ297" s="753"/>
      <c r="DA297" s="753"/>
      <c r="DB297" s="753"/>
      <c r="DC297" s="753"/>
      <c r="DD297" s="753"/>
      <c r="DE297" s="753"/>
      <c r="DF297" s="753"/>
      <c r="DG297" s="753"/>
      <c r="DH297" s="753"/>
      <c r="DI297" s="753"/>
      <c r="DJ297" s="753"/>
      <c r="DK297" s="753"/>
      <c r="DL297" s="753"/>
      <c r="DM297" s="753"/>
      <c r="DN297" s="753"/>
      <c r="DO297" s="753"/>
      <c r="DP297" s="753"/>
      <c r="DQ297" s="753"/>
      <c r="DR297" s="753"/>
      <c r="DS297" s="776"/>
      <c r="DT297" s="775"/>
    </row>
    <row r="298" spans="1:124" s="758" customFormat="1">
      <c r="A298" s="780"/>
      <c r="B298" s="780"/>
      <c r="C298" s="780"/>
      <c r="D298" s="780"/>
      <c r="E298" s="780"/>
      <c r="F298" s="780"/>
      <c r="G298" s="780"/>
      <c r="H298" s="780"/>
      <c r="I298" s="780"/>
      <c r="J298" s="1039"/>
      <c r="K298" s="1039"/>
      <c r="L298" s="1039"/>
      <c r="M298" s="1039"/>
      <c r="N298" s="1039"/>
      <c r="O298" s="1090"/>
      <c r="P298" s="1039"/>
      <c r="Q298" s="1039"/>
      <c r="R298" s="1039"/>
      <c r="S298" s="1039"/>
      <c r="T298" s="1039"/>
      <c r="U298" s="1039"/>
      <c r="V298" s="1039"/>
      <c r="W298" s="1039"/>
      <c r="X298" s="1039"/>
      <c r="Y298" s="1039"/>
      <c r="Z298" s="1039"/>
      <c r="AA298" s="1039"/>
      <c r="AB298" s="1039"/>
      <c r="AC298" s="1039"/>
      <c r="AD298" s="1039"/>
      <c r="AE298" s="1039"/>
      <c r="AF298" s="1039"/>
      <c r="CT298" s="753"/>
      <c r="CU298" s="753"/>
      <c r="CV298" s="753"/>
      <c r="CW298" s="753"/>
      <c r="CX298" s="753"/>
      <c r="CY298" s="753"/>
      <c r="CZ298" s="753"/>
      <c r="DA298" s="753"/>
      <c r="DB298" s="753"/>
      <c r="DC298" s="753"/>
      <c r="DD298" s="753"/>
      <c r="DE298" s="753"/>
      <c r="DF298" s="753"/>
      <c r="DG298" s="753"/>
      <c r="DH298" s="753"/>
      <c r="DI298" s="753"/>
      <c r="DJ298" s="753"/>
      <c r="DK298" s="753"/>
      <c r="DL298" s="753"/>
      <c r="DM298" s="753"/>
      <c r="DN298" s="753"/>
      <c r="DO298" s="753"/>
      <c r="DP298" s="753"/>
      <c r="DQ298" s="753"/>
      <c r="DR298" s="753"/>
      <c r="DS298" s="776"/>
      <c r="DT298" s="775"/>
    </row>
    <row r="299" spans="1:124" s="758" customFormat="1">
      <c r="A299" s="780"/>
      <c r="B299" s="780"/>
      <c r="C299" s="780"/>
      <c r="D299" s="780"/>
      <c r="E299" s="780"/>
      <c r="F299" s="780"/>
      <c r="G299" s="780"/>
      <c r="H299" s="780"/>
      <c r="I299" s="780"/>
      <c r="J299" s="1039"/>
      <c r="K299" s="1039"/>
      <c r="L299" s="1039"/>
      <c r="M299" s="1039"/>
      <c r="N299" s="1039"/>
      <c r="O299" s="1090"/>
      <c r="P299" s="1039"/>
      <c r="Q299" s="1039"/>
      <c r="R299" s="1039"/>
      <c r="S299" s="1039"/>
      <c r="T299" s="1039"/>
      <c r="U299" s="1039"/>
      <c r="V299" s="1039"/>
      <c r="W299" s="1039"/>
      <c r="X299" s="1039"/>
      <c r="Y299" s="1039"/>
      <c r="Z299" s="1039"/>
      <c r="AA299" s="1039"/>
      <c r="AB299" s="1039"/>
      <c r="AC299" s="1039"/>
      <c r="AD299" s="1039"/>
      <c r="AE299" s="1039"/>
      <c r="AF299" s="1039"/>
      <c r="CT299" s="753"/>
      <c r="CU299" s="753"/>
      <c r="CV299" s="753"/>
      <c r="CW299" s="753"/>
      <c r="CX299" s="753"/>
      <c r="CY299" s="753"/>
      <c r="CZ299" s="753"/>
      <c r="DA299" s="753"/>
      <c r="DB299" s="753"/>
      <c r="DC299" s="753"/>
      <c r="DD299" s="753"/>
      <c r="DE299" s="753"/>
      <c r="DF299" s="753"/>
      <c r="DG299" s="753"/>
      <c r="DH299" s="753"/>
      <c r="DI299" s="753"/>
      <c r="DJ299" s="753"/>
      <c r="DK299" s="753"/>
      <c r="DL299" s="753"/>
      <c r="DM299" s="753"/>
      <c r="DN299" s="753"/>
      <c r="DO299" s="753"/>
      <c r="DP299" s="753"/>
      <c r="DQ299" s="753"/>
      <c r="DR299" s="753"/>
      <c r="DS299" s="776"/>
      <c r="DT299" s="775"/>
    </row>
    <row r="300" spans="1:124" s="758" customFormat="1">
      <c r="A300" s="780"/>
      <c r="B300" s="780"/>
      <c r="C300" s="780"/>
      <c r="D300" s="780"/>
      <c r="E300" s="780"/>
      <c r="F300" s="780"/>
      <c r="G300" s="780"/>
      <c r="H300" s="780"/>
      <c r="I300" s="780"/>
      <c r="J300" s="1039"/>
      <c r="K300" s="1039"/>
      <c r="L300" s="1039"/>
      <c r="M300" s="1039"/>
      <c r="N300" s="1039"/>
      <c r="O300" s="1090"/>
      <c r="P300" s="1039"/>
      <c r="Q300" s="1039"/>
      <c r="R300" s="1039"/>
      <c r="S300" s="1039"/>
      <c r="T300" s="1039"/>
      <c r="U300" s="1039"/>
      <c r="V300" s="1039"/>
      <c r="W300" s="1039"/>
      <c r="X300" s="1039"/>
      <c r="Y300" s="1039"/>
      <c r="Z300" s="1039"/>
      <c r="AA300" s="1039"/>
      <c r="AB300" s="1039"/>
      <c r="AC300" s="1039"/>
      <c r="AD300" s="1039"/>
      <c r="AE300" s="1039"/>
      <c r="AF300" s="1039"/>
      <c r="CT300" s="753"/>
      <c r="CU300" s="753"/>
      <c r="CV300" s="753"/>
      <c r="CW300" s="753"/>
      <c r="CX300" s="753"/>
      <c r="CY300" s="753"/>
      <c r="CZ300" s="753"/>
      <c r="DA300" s="753"/>
      <c r="DB300" s="753"/>
      <c r="DC300" s="753"/>
      <c r="DD300" s="753"/>
      <c r="DE300" s="753"/>
      <c r="DF300" s="753"/>
      <c r="DG300" s="753"/>
      <c r="DH300" s="753"/>
      <c r="DI300" s="753"/>
      <c r="DJ300" s="753"/>
      <c r="DK300" s="753"/>
      <c r="DL300" s="753"/>
      <c r="DM300" s="753"/>
      <c r="DN300" s="753"/>
      <c r="DO300" s="753"/>
      <c r="DP300" s="753"/>
      <c r="DQ300" s="753"/>
      <c r="DR300" s="753"/>
      <c r="DS300" s="776"/>
      <c r="DT300" s="775"/>
    </row>
    <row r="301" spans="1:124" s="758" customFormat="1">
      <c r="A301" s="780"/>
      <c r="B301" s="780"/>
      <c r="C301" s="780"/>
      <c r="D301" s="780"/>
      <c r="E301" s="780"/>
      <c r="F301" s="780"/>
      <c r="G301" s="780"/>
      <c r="H301" s="780"/>
      <c r="I301" s="780"/>
      <c r="J301" s="1039"/>
      <c r="K301" s="1039"/>
      <c r="L301" s="1039"/>
      <c r="M301" s="1039"/>
      <c r="N301" s="1039"/>
      <c r="O301" s="1090"/>
      <c r="P301" s="1039"/>
      <c r="Q301" s="1039"/>
      <c r="R301" s="1039"/>
      <c r="S301" s="1039"/>
      <c r="T301" s="1039"/>
      <c r="U301" s="1039"/>
      <c r="V301" s="1039"/>
      <c r="W301" s="1039"/>
      <c r="X301" s="1039"/>
      <c r="Y301" s="1039"/>
      <c r="Z301" s="1039"/>
      <c r="AA301" s="1039"/>
      <c r="AB301" s="1039"/>
      <c r="AC301" s="1039"/>
      <c r="AD301" s="1039"/>
      <c r="AE301" s="1039"/>
      <c r="AF301" s="1039"/>
      <c r="CT301" s="753"/>
      <c r="CU301" s="753"/>
      <c r="CV301" s="753"/>
      <c r="CW301" s="753"/>
      <c r="CX301" s="753"/>
      <c r="CY301" s="753"/>
      <c r="CZ301" s="753"/>
      <c r="DA301" s="753"/>
      <c r="DB301" s="753"/>
      <c r="DC301" s="753"/>
      <c r="DD301" s="753"/>
      <c r="DE301" s="753"/>
      <c r="DF301" s="753"/>
      <c r="DG301" s="753"/>
      <c r="DH301" s="753"/>
      <c r="DI301" s="753"/>
      <c r="DJ301" s="753"/>
      <c r="DK301" s="753"/>
      <c r="DL301" s="753"/>
      <c r="DM301" s="753"/>
      <c r="DN301" s="753"/>
      <c r="DO301" s="753"/>
      <c r="DP301" s="753"/>
      <c r="DQ301" s="753"/>
      <c r="DR301" s="753"/>
      <c r="DS301" s="776"/>
      <c r="DT301" s="775"/>
    </row>
    <row r="302" spans="1:124" s="758" customFormat="1">
      <c r="A302" s="780"/>
      <c r="B302" s="780"/>
      <c r="C302" s="780"/>
      <c r="D302" s="780"/>
      <c r="E302" s="780"/>
      <c r="F302" s="780"/>
      <c r="G302" s="780"/>
      <c r="H302" s="780"/>
      <c r="I302" s="780"/>
      <c r="J302" s="1039"/>
      <c r="K302" s="1039"/>
      <c r="L302" s="1039"/>
      <c r="M302" s="1039"/>
      <c r="N302" s="1039"/>
      <c r="O302" s="1090"/>
      <c r="P302" s="1039"/>
      <c r="Q302" s="1039"/>
      <c r="R302" s="1039"/>
      <c r="S302" s="1039"/>
      <c r="T302" s="1039"/>
      <c r="U302" s="1039"/>
      <c r="V302" s="1039"/>
      <c r="W302" s="1039"/>
      <c r="X302" s="1039"/>
      <c r="Y302" s="1039"/>
      <c r="Z302" s="1039"/>
      <c r="AA302" s="1039"/>
      <c r="AB302" s="1039"/>
      <c r="AC302" s="1039"/>
      <c r="AD302" s="1039"/>
      <c r="AE302" s="1039"/>
      <c r="AF302" s="1039"/>
      <c r="CT302" s="753"/>
      <c r="CU302" s="753"/>
      <c r="CV302" s="753"/>
      <c r="CW302" s="753"/>
      <c r="CX302" s="753"/>
      <c r="CY302" s="753"/>
      <c r="CZ302" s="753"/>
      <c r="DA302" s="753"/>
      <c r="DB302" s="753"/>
      <c r="DC302" s="753"/>
      <c r="DD302" s="753"/>
      <c r="DE302" s="753"/>
      <c r="DF302" s="753"/>
      <c r="DG302" s="753"/>
      <c r="DH302" s="753"/>
      <c r="DI302" s="753"/>
      <c r="DJ302" s="753"/>
      <c r="DK302" s="753"/>
      <c r="DL302" s="753"/>
      <c r="DM302" s="753"/>
      <c r="DN302" s="753"/>
      <c r="DO302" s="753"/>
      <c r="DP302" s="753"/>
      <c r="DQ302" s="753"/>
      <c r="DR302" s="753"/>
      <c r="DS302" s="776"/>
      <c r="DT302" s="775"/>
    </row>
    <row r="303" spans="1:124" s="758" customFormat="1">
      <c r="A303" s="780"/>
      <c r="B303" s="780"/>
      <c r="C303" s="780"/>
      <c r="D303" s="780"/>
      <c r="E303" s="780"/>
      <c r="F303" s="780"/>
      <c r="G303" s="780"/>
      <c r="H303" s="780"/>
      <c r="I303" s="780"/>
      <c r="J303" s="1039"/>
      <c r="K303" s="1039"/>
      <c r="L303" s="1039"/>
      <c r="M303" s="1039"/>
      <c r="N303" s="1039"/>
      <c r="O303" s="1090"/>
      <c r="P303" s="1039"/>
      <c r="Q303" s="1039"/>
      <c r="R303" s="1039"/>
      <c r="S303" s="1039"/>
      <c r="T303" s="1039"/>
      <c r="U303" s="1039"/>
      <c r="V303" s="1039"/>
      <c r="W303" s="1039"/>
      <c r="X303" s="1039"/>
      <c r="Y303" s="1039"/>
      <c r="Z303" s="1039"/>
      <c r="AA303" s="1039"/>
      <c r="AB303" s="1039"/>
      <c r="AC303" s="1039"/>
      <c r="AD303" s="1039"/>
      <c r="AE303" s="1039"/>
      <c r="AF303" s="1039"/>
      <c r="CT303" s="753"/>
      <c r="CU303" s="753"/>
      <c r="CV303" s="753"/>
      <c r="CW303" s="753"/>
      <c r="CX303" s="753"/>
      <c r="CY303" s="753"/>
      <c r="CZ303" s="753"/>
      <c r="DA303" s="753"/>
      <c r="DB303" s="753"/>
      <c r="DC303" s="753"/>
      <c r="DD303" s="753"/>
      <c r="DE303" s="753"/>
      <c r="DF303" s="753"/>
      <c r="DG303" s="753"/>
      <c r="DH303" s="753"/>
      <c r="DI303" s="753"/>
      <c r="DJ303" s="753"/>
      <c r="DK303" s="753"/>
      <c r="DL303" s="753"/>
      <c r="DM303" s="753"/>
      <c r="DN303" s="753"/>
      <c r="DO303" s="753"/>
      <c r="DP303" s="753"/>
      <c r="DQ303" s="753"/>
      <c r="DR303" s="753"/>
      <c r="DS303" s="776"/>
      <c r="DT303" s="775"/>
    </row>
    <row r="304" spans="1:124" s="758" customFormat="1">
      <c r="A304" s="780"/>
      <c r="B304" s="780"/>
      <c r="C304" s="780"/>
      <c r="D304" s="780"/>
      <c r="E304" s="780"/>
      <c r="F304" s="780"/>
      <c r="G304" s="780"/>
      <c r="H304" s="780"/>
      <c r="I304" s="780"/>
      <c r="J304" s="1039"/>
      <c r="K304" s="1039"/>
      <c r="L304" s="1039"/>
      <c r="M304" s="1039"/>
      <c r="N304" s="1039"/>
      <c r="O304" s="1090"/>
      <c r="P304" s="1039"/>
      <c r="Q304" s="1039"/>
      <c r="R304" s="1039"/>
      <c r="S304" s="1039"/>
      <c r="T304" s="1039"/>
      <c r="U304" s="1039"/>
      <c r="V304" s="1039"/>
      <c r="W304" s="1039"/>
      <c r="X304" s="1039"/>
      <c r="Y304" s="1039"/>
      <c r="Z304" s="1039"/>
      <c r="AA304" s="1039"/>
      <c r="AB304" s="1039"/>
      <c r="AC304" s="1039"/>
      <c r="AD304" s="1039"/>
      <c r="AE304" s="1039"/>
      <c r="AF304" s="1039"/>
      <c r="CT304" s="753"/>
      <c r="CU304" s="753"/>
      <c r="CV304" s="753"/>
      <c r="CW304" s="753"/>
      <c r="CX304" s="753"/>
      <c r="CY304" s="753"/>
      <c r="CZ304" s="753"/>
      <c r="DA304" s="753"/>
      <c r="DB304" s="753"/>
      <c r="DC304" s="753"/>
      <c r="DD304" s="753"/>
      <c r="DE304" s="753"/>
      <c r="DF304" s="753"/>
      <c r="DG304" s="753"/>
      <c r="DH304" s="753"/>
      <c r="DI304" s="753"/>
      <c r="DJ304" s="753"/>
      <c r="DK304" s="753"/>
      <c r="DL304" s="753"/>
      <c r="DM304" s="753"/>
      <c r="DN304" s="753"/>
      <c r="DO304" s="753"/>
      <c r="DP304" s="753"/>
      <c r="DQ304" s="753"/>
      <c r="DR304" s="753"/>
      <c r="DS304" s="776"/>
      <c r="DT304" s="775"/>
    </row>
    <row r="305" spans="1:124" s="758" customFormat="1">
      <c r="A305" s="780"/>
      <c r="B305" s="780"/>
      <c r="C305" s="780"/>
      <c r="D305" s="780"/>
      <c r="E305" s="780"/>
      <c r="F305" s="780"/>
      <c r="G305" s="780"/>
      <c r="H305" s="780"/>
      <c r="I305" s="780"/>
      <c r="J305" s="1039"/>
      <c r="K305" s="1039"/>
      <c r="L305" s="1039"/>
      <c r="M305" s="1039"/>
      <c r="N305" s="1039"/>
      <c r="O305" s="1090"/>
      <c r="P305" s="1039"/>
      <c r="Q305" s="1039"/>
      <c r="R305" s="1039"/>
      <c r="S305" s="1039"/>
      <c r="T305" s="1039"/>
      <c r="U305" s="1039"/>
      <c r="V305" s="1039"/>
      <c r="W305" s="1039"/>
      <c r="X305" s="1039"/>
      <c r="Y305" s="1039"/>
      <c r="Z305" s="1039"/>
      <c r="AA305" s="1039"/>
      <c r="AB305" s="1039"/>
      <c r="AC305" s="1039"/>
      <c r="AD305" s="1039"/>
      <c r="AE305" s="1039"/>
      <c r="AF305" s="1039"/>
      <c r="CT305" s="753"/>
      <c r="CU305" s="753"/>
      <c r="CV305" s="753"/>
      <c r="CW305" s="753"/>
      <c r="CX305" s="753"/>
      <c r="CY305" s="753"/>
      <c r="CZ305" s="753"/>
      <c r="DA305" s="753"/>
      <c r="DB305" s="753"/>
      <c r="DC305" s="753"/>
      <c r="DD305" s="753"/>
      <c r="DE305" s="753"/>
      <c r="DF305" s="753"/>
      <c r="DG305" s="753"/>
      <c r="DH305" s="753"/>
      <c r="DI305" s="753"/>
      <c r="DJ305" s="753"/>
      <c r="DK305" s="753"/>
      <c r="DL305" s="753"/>
      <c r="DM305" s="753"/>
      <c r="DN305" s="753"/>
      <c r="DO305" s="753"/>
      <c r="DP305" s="753"/>
      <c r="DQ305" s="753"/>
      <c r="DR305" s="753"/>
      <c r="DS305" s="776"/>
      <c r="DT305" s="775"/>
    </row>
    <row r="306" spans="1:124" s="758" customFormat="1">
      <c r="A306" s="780"/>
      <c r="B306" s="780"/>
      <c r="C306" s="780"/>
      <c r="D306" s="780"/>
      <c r="E306" s="780"/>
      <c r="F306" s="780"/>
      <c r="G306" s="780"/>
      <c r="H306" s="780"/>
      <c r="I306" s="780"/>
      <c r="J306" s="1039"/>
      <c r="K306" s="1039"/>
      <c r="L306" s="1039"/>
      <c r="M306" s="1039"/>
      <c r="N306" s="1039"/>
      <c r="O306" s="1090"/>
      <c r="P306" s="1039"/>
      <c r="Q306" s="1039"/>
      <c r="R306" s="1039"/>
      <c r="S306" s="1039"/>
      <c r="T306" s="1039"/>
      <c r="U306" s="1039"/>
      <c r="V306" s="1039"/>
      <c r="W306" s="1039"/>
      <c r="X306" s="1039"/>
      <c r="Y306" s="1039"/>
      <c r="Z306" s="1039"/>
      <c r="AA306" s="1039"/>
      <c r="AB306" s="1039"/>
      <c r="AC306" s="1039"/>
      <c r="AD306" s="1039"/>
      <c r="AE306" s="1039"/>
      <c r="AF306" s="1039"/>
      <c r="CT306" s="753"/>
      <c r="CU306" s="753"/>
      <c r="CV306" s="753"/>
      <c r="CW306" s="753"/>
      <c r="CX306" s="753"/>
      <c r="CY306" s="753"/>
      <c r="CZ306" s="753"/>
      <c r="DA306" s="753"/>
      <c r="DB306" s="753"/>
      <c r="DC306" s="753"/>
      <c r="DD306" s="753"/>
      <c r="DE306" s="753"/>
      <c r="DF306" s="753"/>
      <c r="DG306" s="753"/>
      <c r="DH306" s="753"/>
      <c r="DI306" s="753"/>
      <c r="DJ306" s="753"/>
      <c r="DK306" s="753"/>
      <c r="DL306" s="753"/>
      <c r="DM306" s="753"/>
      <c r="DN306" s="753"/>
      <c r="DO306" s="753"/>
      <c r="DP306" s="753"/>
      <c r="DQ306" s="753"/>
      <c r="DR306" s="753"/>
      <c r="DS306" s="776"/>
      <c r="DT306" s="775"/>
    </row>
    <row r="307" spans="1:124" s="758" customFormat="1">
      <c r="A307" s="780"/>
      <c r="B307" s="780"/>
      <c r="C307" s="780"/>
      <c r="D307" s="780"/>
      <c r="E307" s="780"/>
      <c r="F307" s="780"/>
      <c r="G307" s="780"/>
      <c r="H307" s="780"/>
      <c r="I307" s="780"/>
      <c r="J307" s="1039"/>
      <c r="K307" s="1039"/>
      <c r="L307" s="1039"/>
      <c r="M307" s="1039"/>
      <c r="N307" s="1039"/>
      <c r="O307" s="1090"/>
      <c r="P307" s="1039"/>
      <c r="Q307" s="1039"/>
      <c r="R307" s="1039"/>
      <c r="S307" s="1039"/>
      <c r="T307" s="1039"/>
      <c r="U307" s="1039"/>
      <c r="V307" s="1039"/>
      <c r="W307" s="1039"/>
      <c r="X307" s="1039"/>
      <c r="Y307" s="1039"/>
      <c r="Z307" s="1039"/>
      <c r="AA307" s="1039"/>
      <c r="AB307" s="1039"/>
      <c r="AC307" s="1039"/>
      <c r="AD307" s="1039"/>
      <c r="AE307" s="1039"/>
      <c r="AF307" s="1039"/>
      <c r="CT307" s="753"/>
      <c r="CU307" s="753"/>
      <c r="CV307" s="753"/>
      <c r="CW307" s="753"/>
      <c r="CX307" s="753"/>
      <c r="CY307" s="753"/>
      <c r="CZ307" s="753"/>
      <c r="DA307" s="753"/>
      <c r="DB307" s="753"/>
      <c r="DC307" s="753"/>
      <c r="DD307" s="753"/>
      <c r="DE307" s="753"/>
      <c r="DF307" s="753"/>
      <c r="DG307" s="753"/>
      <c r="DH307" s="753"/>
      <c r="DI307" s="753"/>
      <c r="DJ307" s="753"/>
      <c r="DK307" s="753"/>
      <c r="DL307" s="753"/>
      <c r="DM307" s="753"/>
      <c r="DN307" s="753"/>
      <c r="DO307" s="753"/>
      <c r="DP307" s="753"/>
      <c r="DQ307" s="753"/>
      <c r="DR307" s="753"/>
      <c r="DS307" s="776"/>
      <c r="DT307" s="775"/>
    </row>
    <row r="308" spans="1:124" s="758" customFormat="1">
      <c r="A308" s="780"/>
      <c r="B308" s="780"/>
      <c r="C308" s="780"/>
      <c r="D308" s="780"/>
      <c r="E308" s="780"/>
      <c r="F308" s="780"/>
      <c r="G308" s="780"/>
      <c r="H308" s="780"/>
      <c r="I308" s="780"/>
      <c r="J308" s="1039"/>
      <c r="K308" s="1039"/>
      <c r="L308" s="1039"/>
      <c r="M308" s="1039"/>
      <c r="N308" s="1039"/>
      <c r="O308" s="1090"/>
      <c r="P308" s="1039"/>
      <c r="Q308" s="1039"/>
      <c r="R308" s="1039"/>
      <c r="S308" s="1039"/>
      <c r="T308" s="1039"/>
      <c r="U308" s="1039"/>
      <c r="V308" s="1039"/>
      <c r="W308" s="1039"/>
      <c r="X308" s="1039"/>
      <c r="Y308" s="1039"/>
      <c r="Z308" s="1039"/>
      <c r="AA308" s="1039"/>
      <c r="AB308" s="1039"/>
      <c r="AC308" s="1039"/>
      <c r="AD308" s="1039"/>
      <c r="AE308" s="1039"/>
      <c r="AF308" s="1039"/>
      <c r="CT308" s="753"/>
      <c r="CU308" s="753"/>
      <c r="CV308" s="753"/>
      <c r="CW308" s="753"/>
      <c r="CX308" s="753"/>
      <c r="CY308" s="753"/>
      <c r="CZ308" s="753"/>
      <c r="DA308" s="753"/>
      <c r="DB308" s="753"/>
      <c r="DC308" s="753"/>
      <c r="DD308" s="753"/>
      <c r="DE308" s="753"/>
      <c r="DF308" s="753"/>
      <c r="DG308" s="753"/>
      <c r="DH308" s="753"/>
      <c r="DI308" s="753"/>
      <c r="DJ308" s="753"/>
      <c r="DK308" s="753"/>
      <c r="DL308" s="753"/>
      <c r="DM308" s="753"/>
      <c r="DN308" s="753"/>
      <c r="DO308" s="753"/>
      <c r="DP308" s="753"/>
      <c r="DQ308" s="753"/>
      <c r="DR308" s="753"/>
      <c r="DS308" s="776"/>
      <c r="DT308" s="775"/>
    </row>
    <row r="309" spans="1:124" s="758" customFormat="1">
      <c r="A309" s="780"/>
      <c r="B309" s="780"/>
      <c r="C309" s="780"/>
      <c r="D309" s="780"/>
      <c r="E309" s="780"/>
      <c r="F309" s="780"/>
      <c r="G309" s="780"/>
      <c r="H309" s="780"/>
      <c r="I309" s="780"/>
      <c r="J309" s="1039"/>
      <c r="K309" s="1039"/>
      <c r="L309" s="1039"/>
      <c r="M309" s="1039"/>
      <c r="N309" s="1039"/>
      <c r="O309" s="1090"/>
      <c r="P309" s="1039"/>
      <c r="Q309" s="1039"/>
      <c r="R309" s="1039"/>
      <c r="S309" s="1039"/>
      <c r="T309" s="1039"/>
      <c r="U309" s="1039"/>
      <c r="V309" s="1039"/>
      <c r="W309" s="1039"/>
      <c r="X309" s="1039"/>
      <c r="Y309" s="1039"/>
      <c r="Z309" s="1039"/>
      <c r="AA309" s="1039"/>
      <c r="AB309" s="1039"/>
      <c r="AC309" s="1039"/>
      <c r="AD309" s="1039"/>
      <c r="AE309" s="1039"/>
      <c r="AF309" s="1039"/>
      <c r="CT309" s="753"/>
      <c r="CU309" s="753"/>
      <c r="CV309" s="753"/>
      <c r="CW309" s="753"/>
      <c r="CX309" s="753"/>
      <c r="CY309" s="753"/>
      <c r="CZ309" s="753"/>
      <c r="DA309" s="753"/>
      <c r="DB309" s="753"/>
      <c r="DC309" s="753"/>
      <c r="DD309" s="753"/>
      <c r="DE309" s="753"/>
      <c r="DF309" s="753"/>
      <c r="DG309" s="753"/>
      <c r="DH309" s="753"/>
      <c r="DI309" s="753"/>
      <c r="DJ309" s="753"/>
      <c r="DK309" s="753"/>
      <c r="DL309" s="753"/>
      <c r="DM309" s="753"/>
      <c r="DN309" s="753"/>
      <c r="DO309" s="753"/>
      <c r="DP309" s="753"/>
      <c r="DQ309" s="753"/>
      <c r="DR309" s="753"/>
      <c r="DS309" s="776"/>
      <c r="DT309" s="775"/>
    </row>
    <row r="310" spans="1:124" s="758" customFormat="1">
      <c r="A310" s="780"/>
      <c r="B310" s="780"/>
      <c r="C310" s="780"/>
      <c r="D310" s="780"/>
      <c r="E310" s="780"/>
      <c r="F310" s="780"/>
      <c r="G310" s="780"/>
      <c r="H310" s="780"/>
      <c r="I310" s="780"/>
      <c r="J310" s="1039"/>
      <c r="K310" s="1039"/>
      <c r="L310" s="1039"/>
      <c r="M310" s="1039"/>
      <c r="N310" s="1039"/>
      <c r="O310" s="1090"/>
      <c r="P310" s="1039"/>
      <c r="Q310" s="1039"/>
      <c r="R310" s="1039"/>
      <c r="S310" s="1039"/>
      <c r="T310" s="1039"/>
      <c r="U310" s="1039"/>
      <c r="V310" s="1039"/>
      <c r="W310" s="1039"/>
      <c r="X310" s="1039"/>
      <c r="Y310" s="1039"/>
      <c r="Z310" s="1039"/>
      <c r="AA310" s="1039"/>
      <c r="AB310" s="1039"/>
      <c r="AC310" s="1039"/>
      <c r="AD310" s="1039"/>
      <c r="AE310" s="1039"/>
      <c r="AF310" s="1039"/>
      <c r="CT310" s="753"/>
      <c r="CU310" s="753"/>
      <c r="CV310" s="753"/>
      <c r="CW310" s="753"/>
      <c r="CX310" s="753"/>
      <c r="CY310" s="753"/>
      <c r="CZ310" s="753"/>
      <c r="DA310" s="753"/>
      <c r="DB310" s="753"/>
      <c r="DC310" s="753"/>
      <c r="DD310" s="753"/>
      <c r="DE310" s="753"/>
      <c r="DF310" s="753"/>
      <c r="DG310" s="753"/>
      <c r="DH310" s="753"/>
      <c r="DI310" s="753"/>
      <c r="DJ310" s="753"/>
      <c r="DK310" s="753"/>
      <c r="DL310" s="753"/>
      <c r="DM310" s="753"/>
      <c r="DN310" s="753"/>
      <c r="DO310" s="753"/>
      <c r="DP310" s="753"/>
      <c r="DQ310" s="753"/>
      <c r="DR310" s="753"/>
      <c r="DS310" s="776"/>
      <c r="DT310" s="775"/>
    </row>
    <row r="311" spans="1:124" s="758" customFormat="1">
      <c r="A311" s="780"/>
      <c r="B311" s="780"/>
      <c r="C311" s="780"/>
      <c r="D311" s="780"/>
      <c r="E311" s="780"/>
      <c r="F311" s="780"/>
      <c r="G311" s="780"/>
      <c r="H311" s="780"/>
      <c r="I311" s="780"/>
      <c r="J311" s="1039"/>
      <c r="K311" s="1039"/>
      <c r="L311" s="1039"/>
      <c r="M311" s="1039"/>
      <c r="N311" s="1039"/>
      <c r="O311" s="1090"/>
      <c r="P311" s="1039"/>
      <c r="Q311" s="1039"/>
      <c r="R311" s="1039"/>
      <c r="S311" s="1039"/>
      <c r="T311" s="1039"/>
      <c r="U311" s="1039"/>
      <c r="V311" s="1039"/>
      <c r="W311" s="1039"/>
      <c r="X311" s="1039"/>
      <c r="Y311" s="1039"/>
      <c r="Z311" s="1039"/>
      <c r="AA311" s="1039"/>
      <c r="AB311" s="1039"/>
      <c r="AC311" s="1039"/>
      <c r="AD311" s="1039"/>
      <c r="AE311" s="1039"/>
      <c r="AF311" s="1039"/>
      <c r="CT311" s="753"/>
      <c r="CU311" s="753"/>
      <c r="CV311" s="753"/>
      <c r="CW311" s="753"/>
      <c r="CX311" s="753"/>
      <c r="CY311" s="753"/>
      <c r="CZ311" s="753"/>
      <c r="DA311" s="753"/>
      <c r="DB311" s="753"/>
      <c r="DC311" s="753"/>
      <c r="DD311" s="753"/>
      <c r="DE311" s="753"/>
      <c r="DF311" s="753"/>
      <c r="DG311" s="753"/>
      <c r="DH311" s="753"/>
      <c r="DI311" s="753"/>
      <c r="DJ311" s="753"/>
      <c r="DK311" s="753"/>
      <c r="DL311" s="753"/>
      <c r="DM311" s="753"/>
      <c r="DN311" s="753"/>
      <c r="DO311" s="753"/>
      <c r="DP311" s="753"/>
      <c r="DQ311" s="753"/>
      <c r="DR311" s="753"/>
      <c r="DT311" s="775"/>
    </row>
    <row r="312" spans="1:124" s="758" customFormat="1">
      <c r="A312" s="780"/>
      <c r="B312" s="780"/>
      <c r="C312" s="780"/>
      <c r="D312" s="780"/>
      <c r="E312" s="780"/>
      <c r="F312" s="780"/>
      <c r="G312" s="780"/>
      <c r="H312" s="780"/>
      <c r="I312" s="780"/>
      <c r="J312" s="1039"/>
      <c r="K312" s="1039"/>
      <c r="L312" s="1039"/>
      <c r="M312" s="1039"/>
      <c r="N312" s="1039"/>
      <c r="O312" s="1090"/>
      <c r="P312" s="1039"/>
      <c r="Q312" s="1039"/>
      <c r="R312" s="1039"/>
      <c r="S312" s="1039"/>
      <c r="T312" s="1039"/>
      <c r="U312" s="1039"/>
      <c r="V312" s="1039"/>
      <c r="W312" s="1039"/>
      <c r="X312" s="1039"/>
      <c r="Y312" s="1039"/>
      <c r="Z312" s="1039"/>
      <c r="AA312" s="1039"/>
      <c r="AB312" s="1039"/>
      <c r="AC312" s="1039"/>
      <c r="AD312" s="1039"/>
      <c r="AE312" s="1039"/>
      <c r="AF312" s="1039"/>
      <c r="CT312" s="753"/>
      <c r="CU312" s="753"/>
      <c r="CV312" s="753"/>
      <c r="CW312" s="753"/>
      <c r="CX312" s="753"/>
      <c r="CY312" s="753"/>
      <c r="CZ312" s="753"/>
      <c r="DA312" s="753"/>
      <c r="DB312" s="753"/>
      <c r="DC312" s="753"/>
      <c r="DD312" s="753"/>
      <c r="DE312" s="753"/>
      <c r="DF312" s="753"/>
      <c r="DG312" s="753"/>
      <c r="DH312" s="753"/>
      <c r="DI312" s="753"/>
      <c r="DJ312" s="753"/>
      <c r="DK312" s="753"/>
      <c r="DL312" s="753"/>
      <c r="DM312" s="753"/>
      <c r="DN312" s="753"/>
      <c r="DO312" s="753"/>
      <c r="DP312" s="753"/>
      <c r="DQ312" s="753"/>
      <c r="DR312" s="753"/>
      <c r="DT312" s="775"/>
    </row>
    <row r="313" spans="1:124" s="758" customFormat="1">
      <c r="A313" s="780"/>
      <c r="B313" s="780"/>
      <c r="C313" s="780"/>
      <c r="D313" s="780"/>
      <c r="E313" s="780"/>
      <c r="F313" s="780"/>
      <c r="G313" s="780"/>
      <c r="H313" s="780"/>
      <c r="I313" s="780"/>
      <c r="J313" s="1039"/>
      <c r="K313" s="1039"/>
      <c r="L313" s="1039"/>
      <c r="M313" s="1039"/>
      <c r="N313" s="1039"/>
      <c r="O313" s="1090"/>
      <c r="P313" s="1039"/>
      <c r="Q313" s="1039"/>
      <c r="R313" s="1039"/>
      <c r="S313" s="1039"/>
      <c r="T313" s="1039"/>
      <c r="U313" s="1039"/>
      <c r="V313" s="1039"/>
      <c r="W313" s="1039"/>
      <c r="X313" s="1039"/>
      <c r="Y313" s="1039"/>
      <c r="Z313" s="1039"/>
      <c r="AA313" s="1039"/>
      <c r="AB313" s="1039"/>
      <c r="AC313" s="1039"/>
      <c r="AD313" s="1039"/>
      <c r="AE313" s="1039"/>
      <c r="AF313" s="1039"/>
      <c r="CT313" s="753"/>
      <c r="CU313" s="753"/>
      <c r="CV313" s="753"/>
      <c r="CW313" s="753"/>
      <c r="CX313" s="753"/>
      <c r="CY313" s="753"/>
      <c r="CZ313" s="753"/>
      <c r="DA313" s="753"/>
      <c r="DB313" s="753"/>
      <c r="DC313" s="753"/>
      <c r="DD313" s="753"/>
      <c r="DE313" s="753"/>
      <c r="DF313" s="753"/>
      <c r="DG313" s="753"/>
      <c r="DH313" s="753"/>
      <c r="DI313" s="753"/>
      <c r="DJ313" s="753"/>
      <c r="DK313" s="753"/>
      <c r="DL313" s="753"/>
      <c r="DM313" s="753"/>
      <c r="DN313" s="753"/>
      <c r="DO313" s="753"/>
      <c r="DP313" s="753"/>
      <c r="DQ313" s="753"/>
      <c r="DR313" s="753"/>
      <c r="DT313" s="775"/>
    </row>
    <row r="314" spans="1:124" s="758" customFormat="1">
      <c r="A314" s="780"/>
      <c r="B314" s="825"/>
      <c r="C314" s="780"/>
      <c r="D314" s="780"/>
      <c r="E314" s="780"/>
      <c r="F314" s="780"/>
      <c r="G314" s="780"/>
      <c r="H314" s="780"/>
      <c r="I314" s="780"/>
      <c r="J314" s="1039"/>
      <c r="K314" s="1039"/>
      <c r="L314" s="1039"/>
      <c r="M314" s="1039"/>
      <c r="N314" s="1039"/>
      <c r="O314" s="1090"/>
      <c r="P314" s="1039"/>
      <c r="Q314" s="1039"/>
      <c r="R314" s="1039"/>
      <c r="S314" s="1039"/>
      <c r="T314" s="1039"/>
      <c r="U314" s="1039"/>
      <c r="V314" s="1039"/>
      <c r="W314" s="1039"/>
      <c r="X314" s="1039"/>
      <c r="Y314" s="1039"/>
      <c r="Z314" s="1039"/>
      <c r="AA314" s="1039"/>
      <c r="AB314" s="1039"/>
      <c r="AC314" s="1039"/>
      <c r="AD314" s="1039"/>
      <c r="AE314" s="1039"/>
      <c r="AF314" s="1039"/>
      <c r="CT314" s="753"/>
      <c r="CU314" s="753"/>
      <c r="CV314" s="753"/>
      <c r="CW314" s="753"/>
      <c r="CX314" s="753"/>
      <c r="CY314" s="753"/>
      <c r="CZ314" s="753"/>
      <c r="DA314" s="753"/>
      <c r="DB314" s="753"/>
      <c r="DC314" s="753"/>
      <c r="DD314" s="753"/>
      <c r="DE314" s="753"/>
      <c r="DF314" s="753"/>
      <c r="DG314" s="753"/>
      <c r="DH314" s="753"/>
      <c r="DI314" s="753"/>
      <c r="DJ314" s="753"/>
      <c r="DK314" s="753"/>
      <c r="DL314" s="753"/>
      <c r="DM314" s="753"/>
      <c r="DN314" s="753"/>
      <c r="DO314" s="753"/>
      <c r="DP314" s="753"/>
      <c r="DQ314" s="753"/>
      <c r="DR314" s="753"/>
      <c r="DT314" s="775"/>
    </row>
    <row r="315" spans="1:124" s="758" customFormat="1">
      <c r="A315" s="825"/>
      <c r="B315" s="825"/>
      <c r="C315" s="825"/>
      <c r="D315" s="825"/>
      <c r="E315" s="825"/>
      <c r="F315" s="825"/>
      <c r="G315" s="825"/>
      <c r="H315" s="825"/>
      <c r="I315" s="825"/>
      <c r="J315" s="1039"/>
      <c r="K315" s="1039"/>
      <c r="L315" s="1039"/>
      <c r="M315" s="1039"/>
      <c r="N315" s="1039"/>
      <c r="O315" s="1090"/>
      <c r="P315" s="1039"/>
      <c r="Q315" s="1039"/>
      <c r="R315" s="1039"/>
      <c r="S315" s="1039"/>
      <c r="T315" s="1039"/>
      <c r="U315" s="1039"/>
      <c r="V315" s="1039"/>
      <c r="W315" s="1039"/>
      <c r="X315" s="1039"/>
      <c r="Y315" s="1039"/>
      <c r="Z315" s="1039"/>
      <c r="AA315" s="1039"/>
      <c r="AB315" s="1039"/>
      <c r="AC315" s="1039"/>
      <c r="AD315" s="1039"/>
      <c r="AE315" s="1039"/>
      <c r="AF315" s="1039"/>
      <c r="CT315" s="753"/>
      <c r="CU315" s="753"/>
      <c r="CV315" s="753"/>
      <c r="CW315" s="753"/>
      <c r="CX315" s="753"/>
      <c r="CY315" s="753"/>
      <c r="CZ315" s="753"/>
      <c r="DA315" s="753"/>
      <c r="DB315" s="753"/>
      <c r="DC315" s="753"/>
      <c r="DD315" s="753"/>
      <c r="DE315" s="753"/>
      <c r="DF315" s="753"/>
      <c r="DG315" s="753"/>
      <c r="DH315" s="753"/>
      <c r="DI315" s="753"/>
      <c r="DJ315" s="753"/>
      <c r="DK315" s="753"/>
      <c r="DL315" s="753"/>
      <c r="DM315" s="753"/>
      <c r="DN315" s="753"/>
      <c r="DO315" s="753"/>
      <c r="DP315" s="753"/>
      <c r="DQ315" s="753"/>
      <c r="DR315" s="753"/>
      <c r="DT315" s="775"/>
    </row>
    <row r="316" spans="1:124" s="758" customFormat="1">
      <c r="A316" s="825"/>
      <c r="B316" s="825"/>
      <c r="C316" s="825"/>
      <c r="D316" s="825"/>
      <c r="E316" s="825"/>
      <c r="F316" s="825"/>
      <c r="G316" s="825"/>
      <c r="H316" s="825"/>
      <c r="I316" s="825"/>
      <c r="J316" s="1039"/>
      <c r="K316" s="1039"/>
      <c r="L316" s="1039"/>
      <c r="M316" s="1039"/>
      <c r="N316" s="1039"/>
      <c r="O316" s="1090"/>
      <c r="P316" s="1039"/>
      <c r="Q316" s="1039"/>
      <c r="R316" s="1039"/>
      <c r="S316" s="1039"/>
      <c r="T316" s="1039"/>
      <c r="U316" s="1039"/>
      <c r="V316" s="1039"/>
      <c r="W316" s="1039"/>
      <c r="X316" s="1039"/>
      <c r="Y316" s="1039"/>
      <c r="Z316" s="1039"/>
      <c r="AA316" s="1039"/>
      <c r="AB316" s="1039"/>
      <c r="AC316" s="1039"/>
      <c r="AD316" s="1039"/>
      <c r="AE316" s="1039"/>
      <c r="AF316" s="1039"/>
      <c r="CT316" s="753"/>
      <c r="CU316" s="753"/>
      <c r="CV316" s="753"/>
      <c r="CW316" s="753"/>
      <c r="CX316" s="753"/>
      <c r="CY316" s="753"/>
      <c r="CZ316" s="753"/>
      <c r="DA316" s="753"/>
      <c r="DB316" s="753"/>
      <c r="DC316" s="753"/>
      <c r="DD316" s="753"/>
      <c r="DE316" s="753"/>
      <c r="DF316" s="753"/>
      <c r="DG316" s="753"/>
      <c r="DH316" s="753"/>
      <c r="DI316" s="753"/>
      <c r="DJ316" s="753"/>
      <c r="DK316" s="753"/>
      <c r="DL316" s="753"/>
      <c r="DM316" s="753"/>
      <c r="DN316" s="753"/>
      <c r="DO316" s="753"/>
      <c r="DP316" s="753"/>
      <c r="DQ316" s="753"/>
      <c r="DR316" s="753"/>
      <c r="DT316" s="775"/>
    </row>
    <row r="317" spans="1:124" s="758" customFormat="1">
      <c r="A317" s="825"/>
      <c r="B317" s="825"/>
      <c r="C317" s="825"/>
      <c r="D317" s="825"/>
      <c r="E317" s="825"/>
      <c r="F317" s="825"/>
      <c r="G317" s="825"/>
      <c r="H317" s="825"/>
      <c r="I317" s="825"/>
      <c r="J317" s="1039"/>
      <c r="K317" s="1039"/>
      <c r="L317" s="1039"/>
      <c r="M317" s="1039"/>
      <c r="N317" s="1039"/>
      <c r="O317" s="1090"/>
      <c r="P317" s="1039"/>
      <c r="Q317" s="1039"/>
      <c r="R317" s="1039"/>
      <c r="S317" s="1039"/>
      <c r="T317" s="1039"/>
      <c r="U317" s="1039"/>
      <c r="V317" s="1039"/>
      <c r="W317" s="1039"/>
      <c r="X317" s="1039"/>
      <c r="Y317" s="1039"/>
      <c r="Z317" s="1039"/>
      <c r="AA317" s="1039"/>
      <c r="AB317" s="1039"/>
      <c r="AC317" s="1039"/>
      <c r="AD317" s="1039"/>
      <c r="AE317" s="1039"/>
      <c r="AF317" s="1039"/>
      <c r="CT317" s="753"/>
      <c r="CU317" s="753"/>
      <c r="CV317" s="753"/>
      <c r="CW317" s="753"/>
      <c r="CX317" s="753"/>
      <c r="CY317" s="753"/>
      <c r="CZ317" s="753"/>
      <c r="DA317" s="753"/>
      <c r="DB317" s="753"/>
      <c r="DC317" s="753"/>
      <c r="DD317" s="753"/>
      <c r="DE317" s="753"/>
      <c r="DF317" s="753"/>
      <c r="DG317" s="753"/>
      <c r="DH317" s="753"/>
      <c r="DI317" s="753"/>
      <c r="DJ317" s="753"/>
      <c r="DK317" s="753"/>
      <c r="DL317" s="753"/>
      <c r="DM317" s="753"/>
      <c r="DN317" s="753"/>
      <c r="DO317" s="753"/>
      <c r="DP317" s="753"/>
      <c r="DQ317" s="753"/>
      <c r="DR317" s="753"/>
      <c r="DT317" s="775"/>
    </row>
    <row r="318" spans="1:124" s="758" customFormat="1">
      <c r="A318" s="825"/>
      <c r="B318" s="825"/>
      <c r="C318" s="825"/>
      <c r="D318" s="825"/>
      <c r="E318" s="825"/>
      <c r="F318" s="825"/>
      <c r="G318" s="825"/>
      <c r="H318" s="825"/>
      <c r="I318" s="825"/>
      <c r="J318" s="1039"/>
      <c r="K318" s="1039"/>
      <c r="L318" s="1039"/>
      <c r="M318" s="1039"/>
      <c r="N318" s="1039"/>
      <c r="O318" s="1090"/>
      <c r="P318" s="1039"/>
      <c r="Q318" s="1039"/>
      <c r="R318" s="1039"/>
      <c r="S318" s="1039"/>
      <c r="T318" s="1039"/>
      <c r="U318" s="1039"/>
      <c r="V318" s="1039"/>
      <c r="W318" s="1039"/>
      <c r="X318" s="1039"/>
      <c r="Y318" s="1039"/>
      <c r="Z318" s="1039"/>
      <c r="AA318" s="1039"/>
      <c r="AB318" s="1039"/>
      <c r="AC318" s="1039"/>
      <c r="AD318" s="1039"/>
      <c r="AE318" s="1039"/>
      <c r="AF318" s="1039"/>
      <c r="CT318" s="753"/>
      <c r="CU318" s="753"/>
      <c r="CV318" s="753"/>
      <c r="CW318" s="753"/>
      <c r="CX318" s="753"/>
      <c r="CY318" s="753"/>
      <c r="CZ318" s="753"/>
      <c r="DA318" s="753"/>
      <c r="DB318" s="753"/>
      <c r="DC318" s="753"/>
      <c r="DD318" s="753"/>
      <c r="DE318" s="753"/>
      <c r="DF318" s="753"/>
      <c r="DG318" s="753"/>
      <c r="DH318" s="753"/>
      <c r="DI318" s="753"/>
      <c r="DJ318" s="753"/>
      <c r="DK318" s="753"/>
      <c r="DL318" s="753"/>
      <c r="DM318" s="753"/>
      <c r="DN318" s="753"/>
      <c r="DO318" s="753"/>
      <c r="DP318" s="753"/>
      <c r="DQ318" s="753"/>
      <c r="DR318" s="753"/>
      <c r="DT318" s="775"/>
    </row>
    <row r="319" spans="1:124" s="758" customFormat="1">
      <c r="A319" s="825"/>
      <c r="B319" s="825"/>
      <c r="C319" s="825"/>
      <c r="D319" s="825"/>
      <c r="E319" s="825"/>
      <c r="F319" s="825"/>
      <c r="G319" s="825"/>
      <c r="H319" s="825"/>
      <c r="I319" s="825"/>
      <c r="J319" s="1039"/>
      <c r="K319" s="1039"/>
      <c r="L319" s="1039"/>
      <c r="M319" s="1039"/>
      <c r="N319" s="1039"/>
      <c r="O319" s="1090"/>
      <c r="P319" s="1039"/>
      <c r="Q319" s="1039"/>
      <c r="R319" s="1039"/>
      <c r="S319" s="1039"/>
      <c r="T319" s="1039"/>
      <c r="U319" s="1039"/>
      <c r="V319" s="1039"/>
      <c r="W319" s="1039"/>
      <c r="X319" s="1039"/>
      <c r="Y319" s="1039"/>
      <c r="Z319" s="1039"/>
      <c r="AA319" s="1039"/>
      <c r="AB319" s="1039"/>
      <c r="AC319" s="1039"/>
      <c r="AD319" s="1039"/>
      <c r="AE319" s="1039"/>
      <c r="AF319" s="1039"/>
      <c r="CT319" s="753"/>
      <c r="CU319" s="753"/>
      <c r="CV319" s="753"/>
      <c r="CW319" s="753"/>
      <c r="CX319" s="753"/>
      <c r="CY319" s="753"/>
      <c r="CZ319" s="753"/>
      <c r="DA319" s="753"/>
      <c r="DB319" s="753"/>
      <c r="DC319" s="753"/>
      <c r="DD319" s="753"/>
      <c r="DE319" s="753"/>
      <c r="DF319" s="753"/>
      <c r="DG319" s="753"/>
      <c r="DH319" s="753"/>
      <c r="DI319" s="753"/>
      <c r="DJ319" s="753"/>
      <c r="DK319" s="753"/>
      <c r="DL319" s="753"/>
      <c r="DM319" s="753"/>
      <c r="DN319" s="753"/>
      <c r="DO319" s="753"/>
      <c r="DP319" s="753"/>
      <c r="DQ319" s="753"/>
      <c r="DR319" s="753"/>
      <c r="DT319" s="775"/>
    </row>
    <row r="320" spans="1:124" s="758" customFormat="1">
      <c r="A320" s="825"/>
      <c r="B320" s="825"/>
      <c r="C320" s="825"/>
      <c r="D320" s="825"/>
      <c r="E320" s="825"/>
      <c r="F320" s="825"/>
      <c r="G320" s="825"/>
      <c r="H320" s="825"/>
      <c r="I320" s="825"/>
      <c r="J320" s="1039"/>
      <c r="K320" s="1039"/>
      <c r="L320" s="1039"/>
      <c r="M320" s="1039"/>
      <c r="N320" s="1039"/>
      <c r="O320" s="1090"/>
      <c r="P320" s="1039"/>
      <c r="Q320" s="1039"/>
      <c r="R320" s="1039"/>
      <c r="S320" s="1039"/>
      <c r="T320" s="1039"/>
      <c r="U320" s="1039"/>
      <c r="V320" s="1039"/>
      <c r="W320" s="1039"/>
      <c r="X320" s="1039"/>
      <c r="Y320" s="1039"/>
      <c r="Z320" s="1039"/>
      <c r="AA320" s="1039"/>
      <c r="AB320" s="1039"/>
      <c r="AC320" s="1039"/>
      <c r="AD320" s="1039"/>
      <c r="AE320" s="1039"/>
      <c r="AF320" s="1039"/>
      <c r="CT320" s="753"/>
      <c r="CU320" s="753"/>
      <c r="CV320" s="753"/>
      <c r="CW320" s="753"/>
      <c r="CX320" s="753"/>
      <c r="CY320" s="753"/>
      <c r="CZ320" s="753"/>
      <c r="DA320" s="753"/>
      <c r="DB320" s="753"/>
      <c r="DC320" s="753"/>
      <c r="DD320" s="753"/>
      <c r="DE320" s="753"/>
      <c r="DF320" s="753"/>
      <c r="DG320" s="753"/>
      <c r="DH320" s="753"/>
      <c r="DI320" s="753"/>
      <c r="DJ320" s="753"/>
      <c r="DK320" s="753"/>
      <c r="DL320" s="753"/>
      <c r="DM320" s="753"/>
      <c r="DN320" s="753"/>
      <c r="DO320" s="753"/>
      <c r="DP320" s="753"/>
      <c r="DQ320" s="753"/>
      <c r="DR320" s="753"/>
      <c r="DT320" s="775"/>
    </row>
    <row r="321" spans="1:124" s="758" customFormat="1">
      <c r="A321" s="825"/>
      <c r="B321" s="825"/>
      <c r="C321" s="825"/>
      <c r="D321" s="825"/>
      <c r="E321" s="825"/>
      <c r="F321" s="825"/>
      <c r="G321" s="825"/>
      <c r="H321" s="825"/>
      <c r="I321" s="825"/>
      <c r="J321" s="1039"/>
      <c r="K321" s="1039"/>
      <c r="L321" s="1039"/>
      <c r="M321" s="1039"/>
      <c r="N321" s="1039"/>
      <c r="O321" s="1090"/>
      <c r="P321" s="1039"/>
      <c r="Q321" s="1039"/>
      <c r="R321" s="1039"/>
      <c r="S321" s="1039"/>
      <c r="T321" s="1039"/>
      <c r="U321" s="1039"/>
      <c r="V321" s="1039"/>
      <c r="W321" s="1039"/>
      <c r="X321" s="1039"/>
      <c r="Y321" s="1039"/>
      <c r="Z321" s="1039"/>
      <c r="AA321" s="1039"/>
      <c r="AB321" s="1039"/>
      <c r="AC321" s="1039"/>
      <c r="AD321" s="1039"/>
      <c r="AE321" s="1039"/>
      <c r="AF321" s="1039"/>
      <c r="CT321" s="753"/>
      <c r="CU321" s="753"/>
      <c r="CV321" s="753"/>
      <c r="CW321" s="753"/>
      <c r="CX321" s="753"/>
      <c r="CY321" s="753"/>
      <c r="CZ321" s="753"/>
      <c r="DA321" s="753"/>
      <c r="DB321" s="753"/>
      <c r="DC321" s="753"/>
      <c r="DD321" s="753"/>
      <c r="DE321" s="753"/>
      <c r="DF321" s="753"/>
      <c r="DG321" s="753"/>
      <c r="DH321" s="753"/>
      <c r="DI321" s="753"/>
      <c r="DJ321" s="753"/>
      <c r="DK321" s="753"/>
      <c r="DL321" s="753"/>
      <c r="DM321" s="753"/>
      <c r="DN321" s="753"/>
      <c r="DO321" s="753"/>
      <c r="DP321" s="753"/>
      <c r="DQ321" s="753"/>
      <c r="DR321" s="753"/>
      <c r="DT321" s="775"/>
    </row>
    <row r="322" spans="1:124" s="758" customFormat="1">
      <c r="A322" s="825"/>
      <c r="B322" s="825"/>
      <c r="C322" s="825"/>
      <c r="D322" s="825"/>
      <c r="E322" s="825"/>
      <c r="F322" s="825"/>
      <c r="G322" s="825"/>
      <c r="H322" s="825"/>
      <c r="I322" s="825"/>
      <c r="J322" s="1039"/>
      <c r="K322" s="1039"/>
      <c r="L322" s="1039"/>
      <c r="M322" s="1039"/>
      <c r="N322" s="1039"/>
      <c r="O322" s="1090"/>
      <c r="P322" s="1039"/>
      <c r="Q322" s="1039"/>
      <c r="R322" s="1039"/>
      <c r="S322" s="1039"/>
      <c r="T322" s="1039"/>
      <c r="U322" s="1039"/>
      <c r="V322" s="1039"/>
      <c r="W322" s="1039"/>
      <c r="X322" s="1039"/>
      <c r="Y322" s="1039"/>
      <c r="Z322" s="1039"/>
      <c r="AA322" s="1039"/>
      <c r="AB322" s="1039"/>
      <c r="AC322" s="1039"/>
      <c r="AD322" s="1039"/>
      <c r="AE322" s="1039"/>
      <c r="AF322" s="1039"/>
      <c r="CT322" s="753"/>
      <c r="CU322" s="753"/>
      <c r="CV322" s="753"/>
      <c r="CW322" s="753"/>
      <c r="CX322" s="753"/>
      <c r="CY322" s="753"/>
      <c r="CZ322" s="753"/>
      <c r="DA322" s="753"/>
      <c r="DB322" s="753"/>
      <c r="DC322" s="753"/>
      <c r="DD322" s="753"/>
      <c r="DE322" s="753"/>
      <c r="DF322" s="753"/>
      <c r="DG322" s="753"/>
      <c r="DH322" s="753"/>
      <c r="DI322" s="753"/>
      <c r="DJ322" s="753"/>
      <c r="DK322" s="753"/>
      <c r="DL322" s="753"/>
      <c r="DM322" s="753"/>
      <c r="DN322" s="753"/>
      <c r="DO322" s="753"/>
      <c r="DP322" s="753"/>
      <c r="DQ322" s="753"/>
      <c r="DR322" s="753"/>
      <c r="DT322" s="775"/>
    </row>
    <row r="323" spans="1:124" s="758" customFormat="1">
      <c r="A323" s="825"/>
      <c r="B323" s="825"/>
      <c r="C323" s="825"/>
      <c r="D323" s="825"/>
      <c r="E323" s="825"/>
      <c r="F323" s="825"/>
      <c r="G323" s="825"/>
      <c r="H323" s="825"/>
      <c r="I323" s="825"/>
      <c r="J323" s="1039"/>
      <c r="K323" s="1039"/>
      <c r="L323" s="1039"/>
      <c r="M323" s="1039"/>
      <c r="N323" s="1039"/>
      <c r="O323" s="1090"/>
      <c r="P323" s="1039"/>
      <c r="Q323" s="1039"/>
      <c r="R323" s="1039"/>
      <c r="S323" s="1039"/>
      <c r="T323" s="1039"/>
      <c r="U323" s="1039"/>
      <c r="V323" s="1039"/>
      <c r="W323" s="1039"/>
      <c r="X323" s="1039"/>
      <c r="Y323" s="1039"/>
      <c r="Z323" s="1039"/>
      <c r="AA323" s="1039"/>
      <c r="AB323" s="1039"/>
      <c r="AC323" s="1039"/>
      <c r="AD323" s="1039"/>
      <c r="AE323" s="1039"/>
      <c r="AF323" s="1039"/>
      <c r="CT323" s="753"/>
      <c r="CU323" s="753"/>
      <c r="CV323" s="753"/>
      <c r="CW323" s="753"/>
      <c r="CX323" s="753"/>
      <c r="CY323" s="753"/>
      <c r="CZ323" s="753"/>
      <c r="DA323" s="753"/>
      <c r="DB323" s="753"/>
      <c r="DC323" s="753"/>
      <c r="DD323" s="753"/>
      <c r="DE323" s="753"/>
      <c r="DF323" s="753"/>
      <c r="DG323" s="753"/>
      <c r="DH323" s="753"/>
      <c r="DI323" s="753"/>
      <c r="DJ323" s="753"/>
      <c r="DK323" s="753"/>
      <c r="DL323" s="753"/>
      <c r="DM323" s="753"/>
      <c r="DN323" s="753"/>
      <c r="DO323" s="753"/>
      <c r="DP323" s="753"/>
      <c r="DQ323" s="753"/>
      <c r="DR323" s="753"/>
      <c r="DT323" s="775"/>
    </row>
    <row r="324" spans="1:124" s="758" customFormat="1">
      <c r="A324" s="825"/>
      <c r="B324" s="825"/>
      <c r="C324" s="825"/>
      <c r="D324" s="825"/>
      <c r="E324" s="825"/>
      <c r="F324" s="825"/>
      <c r="G324" s="825"/>
      <c r="H324" s="825"/>
      <c r="I324" s="825"/>
      <c r="J324" s="1039"/>
      <c r="K324" s="1039"/>
      <c r="L324" s="1039"/>
      <c r="M324" s="1039"/>
      <c r="N324" s="1039"/>
      <c r="O324" s="1090"/>
      <c r="P324" s="1039"/>
      <c r="Q324" s="1039"/>
      <c r="R324" s="1039"/>
      <c r="S324" s="1039"/>
      <c r="T324" s="1039"/>
      <c r="U324" s="1039"/>
      <c r="V324" s="1039"/>
      <c r="W324" s="1039"/>
      <c r="X324" s="1039"/>
      <c r="Y324" s="1039"/>
      <c r="Z324" s="1039"/>
      <c r="AA324" s="1039"/>
      <c r="AB324" s="1039"/>
      <c r="AC324" s="1039"/>
      <c r="AD324" s="1039"/>
      <c r="AE324" s="1039"/>
      <c r="AF324" s="1039"/>
      <c r="CT324" s="753"/>
      <c r="CU324" s="753"/>
      <c r="CV324" s="753"/>
      <c r="CW324" s="753"/>
      <c r="CX324" s="753"/>
      <c r="CY324" s="753"/>
      <c r="CZ324" s="753"/>
      <c r="DA324" s="753"/>
      <c r="DB324" s="753"/>
      <c r="DC324" s="753"/>
      <c r="DD324" s="753"/>
      <c r="DE324" s="753"/>
      <c r="DF324" s="753"/>
      <c r="DG324" s="753"/>
      <c r="DH324" s="753"/>
      <c r="DI324" s="753"/>
      <c r="DJ324" s="753"/>
      <c r="DK324" s="753"/>
      <c r="DL324" s="753"/>
      <c r="DM324" s="753"/>
      <c r="DN324" s="753"/>
      <c r="DO324" s="753"/>
      <c r="DP324" s="753"/>
      <c r="DQ324" s="753"/>
      <c r="DR324" s="753"/>
      <c r="DT324" s="775"/>
    </row>
    <row r="325" spans="1:124" s="758" customFormat="1">
      <c r="A325" s="825"/>
      <c r="B325" s="825"/>
      <c r="C325" s="825"/>
      <c r="D325" s="825"/>
      <c r="E325" s="825"/>
      <c r="F325" s="825"/>
      <c r="G325" s="825"/>
      <c r="H325" s="825"/>
      <c r="I325" s="825"/>
      <c r="J325" s="1039"/>
      <c r="K325" s="1039"/>
      <c r="L325" s="1039"/>
      <c r="M325" s="1039"/>
      <c r="N325" s="1039"/>
      <c r="O325" s="1090"/>
      <c r="P325" s="1039"/>
      <c r="Q325" s="1039"/>
      <c r="R325" s="1039"/>
      <c r="S325" s="1039"/>
      <c r="T325" s="1039"/>
      <c r="U325" s="1039"/>
      <c r="V325" s="1039"/>
      <c r="W325" s="1039"/>
      <c r="X325" s="1039"/>
      <c r="Y325" s="1039"/>
      <c r="Z325" s="1039"/>
      <c r="AA325" s="1039"/>
      <c r="AB325" s="1039"/>
      <c r="AC325" s="1039"/>
      <c r="AD325" s="1039"/>
      <c r="AE325" s="1039"/>
      <c r="AF325" s="1039"/>
      <c r="CT325" s="753"/>
      <c r="CU325" s="753"/>
      <c r="CV325" s="753"/>
      <c r="CW325" s="753"/>
      <c r="CX325" s="753"/>
      <c r="CY325" s="753"/>
      <c r="CZ325" s="753"/>
      <c r="DA325" s="753"/>
      <c r="DB325" s="753"/>
      <c r="DC325" s="753"/>
      <c r="DD325" s="753"/>
      <c r="DE325" s="753"/>
      <c r="DF325" s="753"/>
      <c r="DG325" s="753"/>
      <c r="DH325" s="753"/>
      <c r="DI325" s="753"/>
      <c r="DJ325" s="753"/>
      <c r="DK325" s="753"/>
      <c r="DL325" s="753"/>
      <c r="DM325" s="753"/>
      <c r="DN325" s="753"/>
      <c r="DO325" s="753"/>
      <c r="DP325" s="753"/>
      <c r="DQ325" s="753"/>
      <c r="DR325" s="753"/>
      <c r="DT325" s="775"/>
    </row>
    <row r="326" spans="1:124" s="758" customFormat="1">
      <c r="A326" s="825"/>
      <c r="B326" s="825"/>
      <c r="C326" s="825"/>
      <c r="D326" s="825"/>
      <c r="E326" s="825"/>
      <c r="F326" s="825"/>
      <c r="G326" s="825"/>
      <c r="H326" s="825"/>
      <c r="I326" s="825"/>
      <c r="J326" s="1039"/>
      <c r="K326" s="1039"/>
      <c r="L326" s="1039"/>
      <c r="M326" s="1039"/>
      <c r="N326" s="1039"/>
      <c r="O326" s="1090"/>
      <c r="P326" s="1039"/>
      <c r="Q326" s="1039"/>
      <c r="R326" s="1039"/>
      <c r="S326" s="1039"/>
      <c r="T326" s="1039"/>
      <c r="U326" s="1039"/>
      <c r="V326" s="1039"/>
      <c r="W326" s="1039"/>
      <c r="X326" s="1039"/>
      <c r="Y326" s="1039"/>
      <c r="Z326" s="1039"/>
      <c r="AA326" s="1039"/>
      <c r="AB326" s="1039"/>
      <c r="AC326" s="1039"/>
      <c r="AD326" s="1039"/>
      <c r="AE326" s="1039"/>
      <c r="AF326" s="1039"/>
      <c r="CT326" s="753"/>
      <c r="CU326" s="753"/>
      <c r="CV326" s="753"/>
      <c r="CW326" s="753"/>
      <c r="CX326" s="753"/>
      <c r="CY326" s="753"/>
      <c r="CZ326" s="753"/>
      <c r="DA326" s="753"/>
      <c r="DB326" s="753"/>
      <c r="DC326" s="753"/>
      <c r="DD326" s="753"/>
      <c r="DE326" s="753"/>
      <c r="DF326" s="753"/>
      <c r="DG326" s="753"/>
      <c r="DH326" s="753"/>
      <c r="DI326" s="753"/>
      <c r="DJ326" s="753"/>
      <c r="DK326" s="753"/>
      <c r="DL326" s="753"/>
      <c r="DM326" s="753"/>
      <c r="DN326" s="753"/>
      <c r="DO326" s="753"/>
      <c r="DP326" s="753"/>
      <c r="DQ326" s="753"/>
      <c r="DR326" s="753"/>
      <c r="DT326" s="775"/>
    </row>
    <row r="327" spans="1:124" s="758" customFormat="1">
      <c r="A327" s="825"/>
      <c r="B327" s="825"/>
      <c r="C327" s="825"/>
      <c r="D327" s="825"/>
      <c r="E327" s="825"/>
      <c r="F327" s="825"/>
      <c r="G327" s="825"/>
      <c r="H327" s="825"/>
      <c r="I327" s="825"/>
      <c r="J327" s="1039"/>
      <c r="K327" s="1039"/>
      <c r="L327" s="1039"/>
      <c r="M327" s="1039"/>
      <c r="N327" s="1039"/>
      <c r="O327" s="1090"/>
      <c r="P327" s="1039"/>
      <c r="Q327" s="1039"/>
      <c r="R327" s="1039"/>
      <c r="S327" s="1039"/>
      <c r="T327" s="1039"/>
      <c r="U327" s="1039"/>
      <c r="V327" s="1039"/>
      <c r="W327" s="1039"/>
      <c r="X327" s="1039"/>
      <c r="Y327" s="1039"/>
      <c r="Z327" s="1039"/>
      <c r="AA327" s="1039"/>
      <c r="AB327" s="1039"/>
      <c r="AC327" s="1039"/>
      <c r="AD327" s="1039"/>
      <c r="AE327" s="1039"/>
      <c r="AF327" s="1039"/>
      <c r="CT327" s="753"/>
      <c r="CU327" s="753"/>
      <c r="CV327" s="753"/>
      <c r="CW327" s="753"/>
      <c r="CX327" s="753"/>
      <c r="CY327" s="753"/>
      <c r="CZ327" s="753"/>
      <c r="DA327" s="753"/>
      <c r="DB327" s="753"/>
      <c r="DC327" s="753"/>
      <c r="DD327" s="753"/>
      <c r="DE327" s="753"/>
      <c r="DF327" s="753"/>
      <c r="DG327" s="753"/>
      <c r="DH327" s="753"/>
      <c r="DI327" s="753"/>
      <c r="DJ327" s="753"/>
      <c r="DK327" s="753"/>
      <c r="DL327" s="753"/>
      <c r="DM327" s="753"/>
      <c r="DN327" s="753"/>
      <c r="DO327" s="753"/>
      <c r="DP327" s="753"/>
      <c r="DQ327" s="753"/>
      <c r="DR327" s="753"/>
      <c r="DT327" s="775"/>
    </row>
    <row r="328" spans="1:124" s="758" customFormat="1">
      <c r="A328" s="825"/>
      <c r="B328" s="825"/>
      <c r="C328" s="825"/>
      <c r="D328" s="825"/>
      <c r="E328" s="825"/>
      <c r="F328" s="825"/>
      <c r="G328" s="825"/>
      <c r="H328" s="825"/>
      <c r="I328" s="825"/>
      <c r="J328" s="1039"/>
      <c r="K328" s="1039"/>
      <c r="L328" s="1039"/>
      <c r="M328" s="1039"/>
      <c r="N328" s="1039"/>
      <c r="O328" s="1090"/>
      <c r="P328" s="1039"/>
      <c r="Q328" s="1039"/>
      <c r="R328" s="1039"/>
      <c r="S328" s="1039"/>
      <c r="T328" s="1039"/>
      <c r="U328" s="1039"/>
      <c r="V328" s="1039"/>
      <c r="W328" s="1039"/>
      <c r="X328" s="1039"/>
      <c r="Y328" s="1039"/>
      <c r="Z328" s="1039"/>
      <c r="AA328" s="1039"/>
      <c r="AB328" s="1039"/>
      <c r="AC328" s="1039"/>
      <c r="AD328" s="1039"/>
      <c r="AE328" s="1039"/>
      <c r="AF328" s="1039"/>
      <c r="CT328" s="753"/>
      <c r="CU328" s="753"/>
      <c r="CV328" s="753"/>
      <c r="CW328" s="753"/>
      <c r="CX328" s="753"/>
      <c r="CY328" s="753"/>
      <c r="CZ328" s="753"/>
      <c r="DA328" s="753"/>
      <c r="DB328" s="753"/>
      <c r="DC328" s="753"/>
      <c r="DD328" s="753"/>
      <c r="DE328" s="753"/>
      <c r="DF328" s="753"/>
      <c r="DG328" s="753"/>
      <c r="DH328" s="753"/>
      <c r="DI328" s="753"/>
      <c r="DJ328" s="753"/>
      <c r="DK328" s="753"/>
      <c r="DL328" s="753"/>
      <c r="DM328" s="753"/>
      <c r="DN328" s="753"/>
      <c r="DO328" s="753"/>
      <c r="DP328" s="753"/>
      <c r="DQ328" s="753"/>
      <c r="DR328" s="753"/>
      <c r="DT328" s="775"/>
    </row>
    <row r="329" spans="1:124" s="758" customFormat="1">
      <c r="A329" s="825"/>
      <c r="B329" s="825"/>
      <c r="C329" s="825"/>
      <c r="D329" s="825"/>
      <c r="E329" s="825"/>
      <c r="F329" s="825"/>
      <c r="G329" s="825"/>
      <c r="H329" s="825"/>
      <c r="I329" s="825"/>
      <c r="J329" s="1039"/>
      <c r="K329" s="1039"/>
      <c r="L329" s="1039"/>
      <c r="M329" s="1039"/>
      <c r="N329" s="1039"/>
      <c r="O329" s="1090"/>
      <c r="P329" s="1039"/>
      <c r="Q329" s="1039"/>
      <c r="R329" s="1039"/>
      <c r="S329" s="1039"/>
      <c r="T329" s="1039"/>
      <c r="U329" s="1039"/>
      <c r="V329" s="1039"/>
      <c r="W329" s="1039"/>
      <c r="X329" s="1039"/>
      <c r="Y329" s="1039"/>
      <c r="Z329" s="1039"/>
      <c r="AA329" s="1039"/>
      <c r="AB329" s="1039"/>
      <c r="AC329" s="1039"/>
      <c r="AD329" s="1039"/>
      <c r="AE329" s="1039"/>
      <c r="AF329" s="1039"/>
      <c r="CT329" s="753"/>
      <c r="CU329" s="753"/>
      <c r="CV329" s="753"/>
      <c r="CW329" s="753"/>
      <c r="CX329" s="753"/>
      <c r="CY329" s="753"/>
      <c r="CZ329" s="753"/>
      <c r="DA329" s="753"/>
      <c r="DB329" s="753"/>
      <c r="DC329" s="753"/>
      <c r="DD329" s="753"/>
      <c r="DE329" s="753"/>
      <c r="DF329" s="753"/>
      <c r="DG329" s="753"/>
      <c r="DH329" s="753"/>
      <c r="DI329" s="753"/>
      <c r="DJ329" s="753"/>
      <c r="DK329" s="753"/>
      <c r="DL329" s="753"/>
      <c r="DM329" s="753"/>
      <c r="DN329" s="753"/>
      <c r="DO329" s="753"/>
      <c r="DP329" s="753"/>
      <c r="DQ329" s="753"/>
      <c r="DR329" s="753"/>
      <c r="DT329" s="775"/>
    </row>
    <row r="330" spans="1:124" s="758" customFormat="1">
      <c r="A330" s="825"/>
      <c r="B330" s="825"/>
      <c r="C330" s="825"/>
      <c r="D330" s="825"/>
      <c r="E330" s="825"/>
      <c r="F330" s="825"/>
      <c r="G330" s="825"/>
      <c r="H330" s="825"/>
      <c r="I330" s="825"/>
      <c r="J330" s="1039"/>
      <c r="K330" s="1039"/>
      <c r="L330" s="1039"/>
      <c r="M330" s="1039"/>
      <c r="N330" s="1039"/>
      <c r="O330" s="1090"/>
      <c r="P330" s="1039"/>
      <c r="Q330" s="1039"/>
      <c r="R330" s="1039"/>
      <c r="S330" s="1039"/>
      <c r="T330" s="1039"/>
      <c r="U330" s="1039"/>
      <c r="V330" s="1039"/>
      <c r="W330" s="1039"/>
      <c r="X330" s="1039"/>
      <c r="Y330" s="1039"/>
      <c r="Z330" s="1039"/>
      <c r="AA330" s="1039"/>
      <c r="AB330" s="1039"/>
      <c r="AC330" s="1039"/>
      <c r="AD330" s="1039"/>
      <c r="AE330" s="1039"/>
      <c r="AF330" s="1039"/>
      <c r="CT330" s="753"/>
      <c r="CU330" s="753"/>
      <c r="CV330" s="753"/>
      <c r="CW330" s="753"/>
      <c r="CX330" s="753"/>
      <c r="CY330" s="753"/>
      <c r="CZ330" s="753"/>
      <c r="DA330" s="753"/>
      <c r="DB330" s="753"/>
      <c r="DC330" s="753"/>
      <c r="DD330" s="753"/>
      <c r="DE330" s="753"/>
      <c r="DF330" s="753"/>
      <c r="DG330" s="753"/>
      <c r="DH330" s="753"/>
      <c r="DI330" s="753"/>
      <c r="DJ330" s="753"/>
      <c r="DK330" s="753"/>
      <c r="DL330" s="753"/>
      <c r="DM330" s="753"/>
      <c r="DN330" s="753"/>
      <c r="DO330" s="753"/>
      <c r="DP330" s="753"/>
      <c r="DQ330" s="753"/>
      <c r="DR330" s="753"/>
      <c r="DT330" s="775"/>
    </row>
    <row r="331" spans="1:124" s="758" customFormat="1">
      <c r="A331" s="825"/>
      <c r="B331" s="825"/>
      <c r="C331" s="825"/>
      <c r="D331" s="825"/>
      <c r="E331" s="825"/>
      <c r="F331" s="825"/>
      <c r="G331" s="825"/>
      <c r="H331" s="825"/>
      <c r="I331" s="825"/>
      <c r="J331" s="1039"/>
      <c r="K331" s="1039"/>
      <c r="L331" s="1039"/>
      <c r="M331" s="1039"/>
      <c r="N331" s="1039"/>
      <c r="O331" s="1090"/>
      <c r="P331" s="1039"/>
      <c r="Q331" s="1039"/>
      <c r="R331" s="1039"/>
      <c r="S331" s="1039"/>
      <c r="T331" s="1039"/>
      <c r="U331" s="1039"/>
      <c r="V331" s="1039"/>
      <c r="W331" s="1039"/>
      <c r="X331" s="1039"/>
      <c r="Y331" s="1039"/>
      <c r="Z331" s="1039"/>
      <c r="AA331" s="1039"/>
      <c r="AB331" s="1039"/>
      <c r="AC331" s="1039"/>
      <c r="AD331" s="1039"/>
      <c r="AE331" s="1039"/>
      <c r="AF331" s="1039"/>
      <c r="CT331" s="753"/>
      <c r="CU331" s="753"/>
      <c r="CV331" s="753"/>
      <c r="CW331" s="753"/>
      <c r="CX331" s="753"/>
      <c r="CY331" s="753"/>
      <c r="CZ331" s="753"/>
      <c r="DA331" s="753"/>
      <c r="DB331" s="753"/>
      <c r="DC331" s="753"/>
      <c r="DD331" s="753"/>
      <c r="DE331" s="753"/>
      <c r="DF331" s="753"/>
      <c r="DG331" s="753"/>
      <c r="DH331" s="753"/>
      <c r="DI331" s="753"/>
      <c r="DJ331" s="753"/>
      <c r="DK331" s="753"/>
      <c r="DL331" s="753"/>
      <c r="DM331" s="753"/>
      <c r="DN331" s="753"/>
      <c r="DO331" s="753"/>
      <c r="DP331" s="753"/>
      <c r="DQ331" s="753"/>
      <c r="DR331" s="753"/>
      <c r="DT331" s="775"/>
    </row>
    <row r="332" spans="1:124" s="758" customFormat="1">
      <c r="A332" s="825"/>
      <c r="B332" s="825"/>
      <c r="C332" s="825"/>
      <c r="D332" s="825"/>
      <c r="E332" s="825"/>
      <c r="F332" s="825"/>
      <c r="G332" s="825"/>
      <c r="H332" s="825"/>
      <c r="I332" s="825"/>
      <c r="J332" s="1039"/>
      <c r="K332" s="1039"/>
      <c r="L332" s="1039"/>
      <c r="M332" s="1039"/>
      <c r="N332" s="1039"/>
      <c r="O332" s="1090"/>
      <c r="P332" s="1039"/>
      <c r="Q332" s="1039"/>
      <c r="R332" s="1039"/>
      <c r="S332" s="1039"/>
      <c r="T332" s="1039"/>
      <c r="U332" s="1039"/>
      <c r="V332" s="1039"/>
      <c r="W332" s="1039"/>
      <c r="X332" s="1039"/>
      <c r="Y332" s="1039"/>
      <c r="Z332" s="1039"/>
      <c r="AA332" s="1039"/>
      <c r="AB332" s="1039"/>
      <c r="AC332" s="1039"/>
      <c r="AD332" s="1039"/>
      <c r="AE332" s="1039"/>
      <c r="AF332" s="1039"/>
      <c r="CT332" s="753"/>
      <c r="CU332" s="753"/>
      <c r="CV332" s="753"/>
      <c r="CW332" s="753"/>
      <c r="CX332" s="753"/>
      <c r="CY332" s="753"/>
      <c r="CZ332" s="753"/>
      <c r="DA332" s="753"/>
      <c r="DB332" s="753"/>
      <c r="DC332" s="753"/>
      <c r="DD332" s="753"/>
      <c r="DE332" s="753"/>
      <c r="DF332" s="753"/>
      <c r="DG332" s="753"/>
      <c r="DH332" s="753"/>
      <c r="DI332" s="753"/>
      <c r="DJ332" s="753"/>
      <c r="DK332" s="753"/>
      <c r="DL332" s="753"/>
      <c r="DM332" s="753"/>
      <c r="DN332" s="753"/>
      <c r="DO332" s="753"/>
      <c r="DP332" s="753"/>
      <c r="DQ332" s="753"/>
      <c r="DR332" s="753"/>
      <c r="DT332" s="775"/>
    </row>
    <row r="333" spans="1:124" s="758" customFormat="1">
      <c r="A333" s="825"/>
      <c r="B333" s="825"/>
      <c r="C333" s="825"/>
      <c r="D333" s="825"/>
      <c r="E333" s="825"/>
      <c r="F333" s="825"/>
      <c r="G333" s="825"/>
      <c r="H333" s="825"/>
      <c r="I333" s="825"/>
      <c r="J333" s="1039"/>
      <c r="K333" s="1039"/>
      <c r="L333" s="1039"/>
      <c r="M333" s="1039"/>
      <c r="N333" s="1039"/>
      <c r="O333" s="1090"/>
      <c r="P333" s="1039"/>
      <c r="Q333" s="1039"/>
      <c r="R333" s="1039"/>
      <c r="S333" s="1039"/>
      <c r="T333" s="1039"/>
      <c r="U333" s="1039"/>
      <c r="V333" s="1039"/>
      <c r="W333" s="1039"/>
      <c r="X333" s="1039"/>
      <c r="Y333" s="1039"/>
      <c r="Z333" s="1039"/>
      <c r="AA333" s="1039"/>
      <c r="AB333" s="1039"/>
      <c r="AC333" s="1039"/>
      <c r="AD333" s="1039"/>
      <c r="AE333" s="1039"/>
      <c r="AF333" s="1039"/>
      <c r="CT333" s="753"/>
      <c r="CU333" s="753"/>
      <c r="CV333" s="753"/>
      <c r="CW333" s="753"/>
      <c r="CX333" s="753"/>
      <c r="CY333" s="753"/>
      <c r="CZ333" s="753"/>
      <c r="DA333" s="753"/>
      <c r="DB333" s="753"/>
      <c r="DC333" s="753"/>
      <c r="DD333" s="753"/>
      <c r="DE333" s="753"/>
      <c r="DF333" s="753"/>
      <c r="DG333" s="753"/>
      <c r="DH333" s="753"/>
      <c r="DI333" s="753"/>
      <c r="DJ333" s="753"/>
      <c r="DK333" s="753"/>
      <c r="DL333" s="753"/>
      <c r="DM333" s="753"/>
      <c r="DN333" s="753"/>
      <c r="DO333" s="753"/>
      <c r="DP333" s="753"/>
      <c r="DQ333" s="753"/>
      <c r="DR333" s="753"/>
      <c r="DT333" s="775"/>
    </row>
    <row r="334" spans="1:124" s="758" customFormat="1">
      <c r="A334" s="825"/>
      <c r="B334" s="825"/>
      <c r="C334" s="825"/>
      <c r="D334" s="825"/>
      <c r="E334" s="825"/>
      <c r="F334" s="825"/>
      <c r="G334" s="825"/>
      <c r="H334" s="825"/>
      <c r="I334" s="825"/>
      <c r="J334" s="1039"/>
      <c r="K334" s="1039"/>
      <c r="L334" s="1039"/>
      <c r="M334" s="1039"/>
      <c r="N334" s="1039"/>
      <c r="O334" s="1090"/>
      <c r="P334" s="1039"/>
      <c r="Q334" s="1039"/>
      <c r="R334" s="1039"/>
      <c r="S334" s="1039"/>
      <c r="T334" s="1039"/>
      <c r="U334" s="1039"/>
      <c r="V334" s="1039"/>
      <c r="W334" s="1039"/>
      <c r="X334" s="1039"/>
      <c r="Y334" s="1039"/>
      <c r="Z334" s="1039"/>
      <c r="AA334" s="1039"/>
      <c r="AB334" s="1039"/>
      <c r="AC334" s="1039"/>
      <c r="AD334" s="1039"/>
      <c r="AE334" s="1039"/>
      <c r="AF334" s="1039"/>
      <c r="CT334" s="753"/>
      <c r="CU334" s="753"/>
      <c r="CV334" s="753"/>
      <c r="CW334" s="753"/>
      <c r="CX334" s="753"/>
      <c r="CY334" s="753"/>
      <c r="CZ334" s="753"/>
      <c r="DA334" s="753"/>
      <c r="DB334" s="753"/>
      <c r="DC334" s="753"/>
      <c r="DD334" s="753"/>
      <c r="DE334" s="753"/>
      <c r="DF334" s="753"/>
      <c r="DG334" s="753"/>
      <c r="DH334" s="753"/>
      <c r="DI334" s="753"/>
      <c r="DJ334" s="753"/>
      <c r="DK334" s="753"/>
      <c r="DL334" s="753"/>
      <c r="DM334" s="753"/>
      <c r="DN334" s="753"/>
      <c r="DO334" s="753"/>
      <c r="DP334" s="753"/>
      <c r="DQ334" s="753"/>
      <c r="DR334" s="753"/>
      <c r="DT334" s="775"/>
    </row>
    <row r="335" spans="1:124" s="758" customFormat="1">
      <c r="A335" s="825"/>
      <c r="B335" s="825"/>
      <c r="C335" s="825"/>
      <c r="D335" s="825"/>
      <c r="E335" s="825"/>
      <c r="F335" s="825"/>
      <c r="G335" s="825"/>
      <c r="H335" s="825"/>
      <c r="I335" s="825"/>
      <c r="J335" s="1039"/>
      <c r="K335" s="1039"/>
      <c r="L335" s="1039"/>
      <c r="M335" s="1039"/>
      <c r="N335" s="1039"/>
      <c r="O335" s="1090"/>
      <c r="P335" s="1039"/>
      <c r="Q335" s="1039"/>
      <c r="R335" s="1039"/>
      <c r="S335" s="1039"/>
      <c r="T335" s="1039"/>
      <c r="U335" s="1039"/>
      <c r="V335" s="1039"/>
      <c r="W335" s="1039"/>
      <c r="X335" s="1039"/>
      <c r="Y335" s="1039"/>
      <c r="Z335" s="1039"/>
      <c r="AA335" s="1039"/>
      <c r="AB335" s="1039"/>
      <c r="AC335" s="1039"/>
      <c r="AD335" s="1039"/>
      <c r="AE335" s="1039"/>
      <c r="AF335" s="1039"/>
      <c r="CT335" s="753"/>
      <c r="CU335" s="753"/>
      <c r="CV335" s="753"/>
      <c r="CW335" s="753"/>
      <c r="CX335" s="753"/>
      <c r="CY335" s="753"/>
      <c r="CZ335" s="753"/>
      <c r="DA335" s="753"/>
      <c r="DB335" s="753"/>
      <c r="DC335" s="753"/>
      <c r="DD335" s="753"/>
      <c r="DE335" s="753"/>
      <c r="DF335" s="753"/>
      <c r="DG335" s="753"/>
      <c r="DH335" s="753"/>
      <c r="DI335" s="753"/>
      <c r="DJ335" s="753"/>
      <c r="DK335" s="753"/>
      <c r="DL335" s="753"/>
      <c r="DM335" s="753"/>
      <c r="DN335" s="753"/>
      <c r="DO335" s="753"/>
      <c r="DP335" s="753"/>
      <c r="DQ335" s="753"/>
      <c r="DR335" s="753"/>
      <c r="DT335" s="775"/>
    </row>
    <row r="336" spans="1:124" s="758" customFormat="1">
      <c r="A336" s="825"/>
      <c r="B336" s="825"/>
      <c r="C336" s="825"/>
      <c r="D336" s="825"/>
      <c r="E336" s="825"/>
      <c r="F336" s="825"/>
      <c r="G336" s="825"/>
      <c r="H336" s="825"/>
      <c r="I336" s="825"/>
      <c r="J336" s="1039"/>
      <c r="K336" s="1039"/>
      <c r="L336" s="1039"/>
      <c r="M336" s="1039"/>
      <c r="N336" s="1039"/>
      <c r="O336" s="1090"/>
      <c r="P336" s="1039"/>
      <c r="Q336" s="1039"/>
      <c r="R336" s="1039"/>
      <c r="S336" s="1039"/>
      <c r="T336" s="1039"/>
      <c r="U336" s="1039"/>
      <c r="V336" s="1039"/>
      <c r="W336" s="1039"/>
      <c r="X336" s="1039"/>
      <c r="Y336" s="1039"/>
      <c r="Z336" s="1039"/>
      <c r="AA336" s="1039"/>
      <c r="AB336" s="1039"/>
      <c r="AC336" s="1039"/>
      <c r="AD336" s="1039"/>
      <c r="AE336" s="1039"/>
      <c r="AF336" s="1039"/>
      <c r="CT336" s="753"/>
      <c r="CU336" s="753"/>
      <c r="CV336" s="753"/>
      <c r="CW336" s="753"/>
      <c r="CX336" s="753"/>
      <c r="CY336" s="753"/>
      <c r="CZ336" s="753"/>
      <c r="DA336" s="753"/>
      <c r="DB336" s="753"/>
      <c r="DC336" s="753"/>
      <c r="DD336" s="753"/>
      <c r="DE336" s="753"/>
      <c r="DF336" s="753"/>
      <c r="DG336" s="753"/>
      <c r="DH336" s="753"/>
      <c r="DI336" s="753"/>
      <c r="DJ336" s="753"/>
      <c r="DK336" s="753"/>
      <c r="DL336" s="753"/>
      <c r="DM336" s="753"/>
      <c r="DN336" s="753"/>
      <c r="DO336" s="753"/>
      <c r="DP336" s="753"/>
      <c r="DQ336" s="753"/>
      <c r="DR336" s="753"/>
      <c r="DT336" s="775"/>
    </row>
    <row r="337" spans="1:124" s="758" customFormat="1">
      <c r="A337" s="825"/>
      <c r="B337" s="825"/>
      <c r="C337" s="825"/>
      <c r="D337" s="825"/>
      <c r="E337" s="825"/>
      <c r="F337" s="825"/>
      <c r="G337" s="825"/>
      <c r="H337" s="825"/>
      <c r="I337" s="825"/>
      <c r="J337" s="1039"/>
      <c r="K337" s="1039"/>
      <c r="L337" s="1039"/>
      <c r="M337" s="1039"/>
      <c r="N337" s="1039"/>
      <c r="O337" s="1090"/>
      <c r="P337" s="1039"/>
      <c r="Q337" s="1039"/>
      <c r="R337" s="1039"/>
      <c r="S337" s="1039"/>
      <c r="T337" s="1039"/>
      <c r="U337" s="1039"/>
      <c r="V337" s="1039"/>
      <c r="W337" s="1039"/>
      <c r="X337" s="1039"/>
      <c r="Y337" s="1039"/>
      <c r="Z337" s="1039"/>
      <c r="AA337" s="1039"/>
      <c r="AB337" s="1039"/>
      <c r="AC337" s="1039"/>
      <c r="AD337" s="1039"/>
      <c r="AE337" s="1039"/>
      <c r="AF337" s="1039"/>
      <c r="CT337" s="753"/>
      <c r="CU337" s="753"/>
      <c r="CV337" s="753"/>
      <c r="CW337" s="753"/>
      <c r="CX337" s="753"/>
      <c r="CY337" s="753"/>
      <c r="CZ337" s="753"/>
      <c r="DA337" s="753"/>
      <c r="DB337" s="753"/>
      <c r="DC337" s="753"/>
      <c r="DD337" s="753"/>
      <c r="DE337" s="753"/>
      <c r="DF337" s="753"/>
      <c r="DG337" s="753"/>
      <c r="DH337" s="753"/>
      <c r="DI337" s="753"/>
      <c r="DJ337" s="753"/>
      <c r="DK337" s="753"/>
      <c r="DL337" s="753"/>
      <c r="DM337" s="753"/>
      <c r="DN337" s="753"/>
      <c r="DO337" s="753"/>
      <c r="DP337" s="753"/>
      <c r="DQ337" s="753"/>
      <c r="DR337" s="753"/>
      <c r="DT337" s="775"/>
    </row>
    <row r="338" spans="1:124" s="758" customFormat="1">
      <c r="A338" s="825"/>
      <c r="B338" s="825"/>
      <c r="C338" s="825"/>
      <c r="D338" s="825"/>
      <c r="E338" s="825"/>
      <c r="F338" s="825"/>
      <c r="G338" s="825"/>
      <c r="H338" s="825"/>
      <c r="I338" s="825"/>
      <c r="J338" s="1039"/>
      <c r="K338" s="1039"/>
      <c r="L338" s="1039"/>
      <c r="M338" s="1039"/>
      <c r="N338" s="1039"/>
      <c r="O338" s="1090"/>
      <c r="P338" s="1039"/>
      <c r="Q338" s="1039"/>
      <c r="R338" s="1039"/>
      <c r="S338" s="1039"/>
      <c r="T338" s="1039"/>
      <c r="U338" s="1039"/>
      <c r="V338" s="1039"/>
      <c r="W338" s="1039"/>
      <c r="X338" s="1039"/>
      <c r="Y338" s="1039"/>
      <c r="Z338" s="1039"/>
      <c r="AA338" s="1039"/>
      <c r="AB338" s="1039"/>
      <c r="AC338" s="1039"/>
      <c r="AD338" s="1039"/>
      <c r="AE338" s="1039"/>
      <c r="AF338" s="1039"/>
      <c r="CT338" s="753"/>
      <c r="CU338" s="753"/>
      <c r="CV338" s="753"/>
      <c r="CW338" s="753"/>
      <c r="CX338" s="753"/>
      <c r="CY338" s="753"/>
      <c r="CZ338" s="753"/>
      <c r="DA338" s="753"/>
      <c r="DB338" s="753"/>
      <c r="DC338" s="753"/>
      <c r="DD338" s="753"/>
      <c r="DE338" s="753"/>
      <c r="DF338" s="753"/>
      <c r="DG338" s="753"/>
      <c r="DH338" s="753"/>
      <c r="DI338" s="753"/>
      <c r="DJ338" s="753"/>
      <c r="DK338" s="753"/>
      <c r="DL338" s="753"/>
      <c r="DM338" s="753"/>
      <c r="DN338" s="753"/>
      <c r="DO338" s="753"/>
      <c r="DP338" s="753"/>
      <c r="DQ338" s="753"/>
      <c r="DR338" s="753"/>
      <c r="DT338" s="775"/>
    </row>
    <row r="339" spans="1:124" s="758" customFormat="1">
      <c r="A339" s="825"/>
      <c r="B339" s="825"/>
      <c r="C339" s="825"/>
      <c r="D339" s="825"/>
      <c r="E339" s="825"/>
      <c r="F339" s="825"/>
      <c r="G339" s="825"/>
      <c r="H339" s="825"/>
      <c r="I339" s="825"/>
      <c r="J339" s="1039"/>
      <c r="K339" s="1039"/>
      <c r="L339" s="1039"/>
      <c r="M339" s="1039"/>
      <c r="N339" s="1039"/>
      <c r="O339" s="1090"/>
      <c r="P339" s="1039"/>
      <c r="Q339" s="1039"/>
      <c r="R339" s="1039"/>
      <c r="S339" s="1039"/>
      <c r="T339" s="1039"/>
      <c r="U339" s="1039"/>
      <c r="V339" s="1039"/>
      <c r="W339" s="1039"/>
      <c r="X339" s="1039"/>
      <c r="Y339" s="1039"/>
      <c r="Z339" s="1039"/>
      <c r="AA339" s="1039"/>
      <c r="AB339" s="1039"/>
      <c r="AC339" s="1039"/>
      <c r="AD339" s="1039"/>
      <c r="AE339" s="1039"/>
      <c r="AF339" s="1039"/>
      <c r="CT339" s="753"/>
      <c r="CU339" s="753"/>
      <c r="CV339" s="753"/>
      <c r="CW339" s="753"/>
      <c r="CX339" s="753"/>
      <c r="CY339" s="753"/>
      <c r="CZ339" s="753"/>
      <c r="DA339" s="753"/>
      <c r="DB339" s="753"/>
      <c r="DC339" s="753"/>
      <c r="DD339" s="753"/>
      <c r="DE339" s="753"/>
      <c r="DF339" s="753"/>
      <c r="DG339" s="753"/>
      <c r="DH339" s="753"/>
      <c r="DI339" s="753"/>
      <c r="DJ339" s="753"/>
      <c r="DK339" s="753"/>
      <c r="DL339" s="753"/>
      <c r="DM339" s="753"/>
      <c r="DN339" s="753"/>
      <c r="DO339" s="753"/>
      <c r="DP339" s="753"/>
      <c r="DQ339" s="753"/>
      <c r="DR339" s="753"/>
      <c r="DT339" s="775"/>
    </row>
    <row r="340" spans="1:124" s="758" customFormat="1">
      <c r="A340" s="825"/>
      <c r="B340" s="825"/>
      <c r="C340" s="825"/>
      <c r="D340" s="825"/>
      <c r="E340" s="825"/>
      <c r="F340" s="825"/>
      <c r="G340" s="825"/>
      <c r="H340" s="825"/>
      <c r="I340" s="825"/>
      <c r="J340" s="1039"/>
      <c r="K340" s="1039"/>
      <c r="L340" s="1039"/>
      <c r="M340" s="1039"/>
      <c r="N340" s="1039"/>
      <c r="O340" s="1090"/>
      <c r="P340" s="1039"/>
      <c r="Q340" s="1039"/>
      <c r="R340" s="1039"/>
      <c r="S340" s="1039"/>
      <c r="T340" s="1039"/>
      <c r="U340" s="1039"/>
      <c r="V340" s="1039"/>
      <c r="W340" s="1039"/>
      <c r="X340" s="1039"/>
      <c r="Y340" s="1039"/>
      <c r="Z340" s="1039"/>
      <c r="AA340" s="1039"/>
      <c r="AB340" s="1039"/>
      <c r="AC340" s="1039"/>
      <c r="AD340" s="1039"/>
      <c r="AE340" s="1039"/>
      <c r="AF340" s="1039"/>
      <c r="CT340" s="753"/>
      <c r="CU340" s="753"/>
      <c r="CV340" s="753"/>
      <c r="CW340" s="753"/>
      <c r="CX340" s="753"/>
      <c r="CY340" s="753"/>
      <c r="CZ340" s="753"/>
      <c r="DA340" s="753"/>
      <c r="DB340" s="753"/>
      <c r="DC340" s="753"/>
      <c r="DD340" s="753"/>
      <c r="DE340" s="753"/>
      <c r="DF340" s="753"/>
      <c r="DG340" s="753"/>
      <c r="DH340" s="753"/>
      <c r="DI340" s="753"/>
      <c r="DJ340" s="753"/>
      <c r="DK340" s="753"/>
      <c r="DL340" s="753"/>
      <c r="DM340" s="753"/>
      <c r="DN340" s="753"/>
      <c r="DO340" s="753"/>
      <c r="DP340" s="753"/>
      <c r="DQ340" s="753"/>
      <c r="DR340" s="753"/>
      <c r="DT340" s="775"/>
    </row>
    <row r="341" spans="1:124" s="758" customFormat="1">
      <c r="A341" s="825"/>
      <c r="B341" s="825"/>
      <c r="C341" s="825"/>
      <c r="D341" s="825"/>
      <c r="E341" s="825"/>
      <c r="F341" s="825"/>
      <c r="G341" s="825"/>
      <c r="H341" s="825"/>
      <c r="I341" s="825"/>
      <c r="J341" s="1039"/>
      <c r="K341" s="1039"/>
      <c r="L341" s="1039"/>
      <c r="M341" s="1039"/>
      <c r="N341" s="1039"/>
      <c r="O341" s="1090"/>
      <c r="P341" s="1039"/>
      <c r="Q341" s="1039"/>
      <c r="R341" s="1039"/>
      <c r="S341" s="1039"/>
      <c r="T341" s="1039"/>
      <c r="U341" s="1039"/>
      <c r="V341" s="1039"/>
      <c r="W341" s="1039"/>
      <c r="X341" s="1039"/>
      <c r="Y341" s="1039"/>
      <c r="Z341" s="1039"/>
      <c r="AA341" s="1039"/>
      <c r="AB341" s="1039"/>
      <c r="AC341" s="1039"/>
      <c r="AD341" s="1039"/>
      <c r="AE341" s="1039"/>
      <c r="AF341" s="1039"/>
      <c r="CT341" s="753"/>
      <c r="CU341" s="753"/>
      <c r="CV341" s="753"/>
      <c r="CW341" s="753"/>
      <c r="CX341" s="753"/>
      <c r="CY341" s="753"/>
      <c r="CZ341" s="753"/>
      <c r="DA341" s="753"/>
      <c r="DB341" s="753"/>
      <c r="DC341" s="753"/>
      <c r="DD341" s="753"/>
      <c r="DE341" s="753"/>
      <c r="DF341" s="753"/>
      <c r="DG341" s="753"/>
      <c r="DH341" s="753"/>
      <c r="DI341" s="753"/>
      <c r="DJ341" s="753"/>
      <c r="DK341" s="753"/>
      <c r="DL341" s="753"/>
      <c r="DM341" s="753"/>
      <c r="DN341" s="753"/>
      <c r="DO341" s="753"/>
      <c r="DP341" s="753"/>
      <c r="DQ341" s="753"/>
      <c r="DR341" s="753"/>
      <c r="DT341" s="775"/>
    </row>
    <row r="342" spans="1:124" s="758" customFormat="1">
      <c r="A342" s="825"/>
      <c r="B342" s="825"/>
      <c r="C342" s="825"/>
      <c r="D342" s="825"/>
      <c r="E342" s="825"/>
      <c r="F342" s="825"/>
      <c r="G342" s="825"/>
      <c r="H342" s="825"/>
      <c r="I342" s="825"/>
      <c r="J342" s="1039"/>
      <c r="K342" s="1039"/>
      <c r="L342" s="1039"/>
      <c r="M342" s="1039"/>
      <c r="N342" s="1039"/>
      <c r="O342" s="1090"/>
      <c r="P342" s="1039"/>
      <c r="Q342" s="1039"/>
      <c r="R342" s="1039"/>
      <c r="S342" s="1039"/>
      <c r="T342" s="1039"/>
      <c r="U342" s="1039"/>
      <c r="V342" s="1039"/>
      <c r="W342" s="1039"/>
      <c r="X342" s="1039"/>
      <c r="Y342" s="1039"/>
      <c r="Z342" s="1039"/>
      <c r="AA342" s="1039"/>
      <c r="AB342" s="1039"/>
      <c r="AC342" s="1039"/>
      <c r="AD342" s="1039"/>
      <c r="AE342" s="1039"/>
      <c r="AF342" s="1039"/>
      <c r="CT342" s="753"/>
      <c r="CU342" s="753"/>
      <c r="CV342" s="753"/>
      <c r="CW342" s="753"/>
      <c r="CX342" s="753"/>
      <c r="CY342" s="753"/>
      <c r="CZ342" s="753"/>
      <c r="DA342" s="753"/>
      <c r="DB342" s="753"/>
      <c r="DC342" s="753"/>
      <c r="DD342" s="753"/>
      <c r="DE342" s="753"/>
      <c r="DF342" s="753"/>
      <c r="DG342" s="753"/>
      <c r="DH342" s="753"/>
      <c r="DI342" s="753"/>
      <c r="DJ342" s="753"/>
      <c r="DK342" s="753"/>
      <c r="DL342" s="753"/>
      <c r="DM342" s="753"/>
      <c r="DN342" s="753"/>
      <c r="DO342" s="753"/>
      <c r="DP342" s="753"/>
      <c r="DQ342" s="753"/>
      <c r="DR342" s="753"/>
      <c r="DT342" s="775"/>
    </row>
    <row r="343" spans="1:124" s="758" customFormat="1">
      <c r="A343" s="825"/>
      <c r="B343" s="825"/>
      <c r="C343" s="825"/>
      <c r="D343" s="825"/>
      <c r="E343" s="825"/>
      <c r="F343" s="825"/>
      <c r="G343" s="825"/>
      <c r="H343" s="825"/>
      <c r="I343" s="825"/>
      <c r="J343" s="1039"/>
      <c r="K343" s="1039"/>
      <c r="L343" s="1039"/>
      <c r="M343" s="1039"/>
      <c r="N343" s="1039"/>
      <c r="O343" s="1090"/>
      <c r="P343" s="1039"/>
      <c r="Q343" s="1039"/>
      <c r="R343" s="1039"/>
      <c r="S343" s="1039"/>
      <c r="T343" s="1039"/>
      <c r="U343" s="1039"/>
      <c r="V343" s="1039"/>
      <c r="W343" s="1039"/>
      <c r="X343" s="1039"/>
      <c r="Y343" s="1039"/>
      <c r="Z343" s="1039"/>
      <c r="AA343" s="1039"/>
      <c r="AB343" s="1039"/>
      <c r="AC343" s="1039"/>
      <c r="AD343" s="1039"/>
      <c r="AE343" s="1039"/>
      <c r="AF343" s="1039"/>
      <c r="CT343" s="753"/>
      <c r="CU343" s="753"/>
      <c r="CV343" s="753"/>
      <c r="CW343" s="753"/>
      <c r="CX343" s="753"/>
      <c r="CY343" s="753"/>
      <c r="CZ343" s="753"/>
      <c r="DA343" s="753"/>
      <c r="DB343" s="753"/>
      <c r="DC343" s="753"/>
      <c r="DD343" s="753"/>
      <c r="DE343" s="753"/>
      <c r="DF343" s="753"/>
      <c r="DG343" s="753"/>
      <c r="DH343" s="753"/>
      <c r="DI343" s="753"/>
      <c r="DJ343" s="753"/>
      <c r="DK343" s="753"/>
      <c r="DL343" s="753"/>
      <c r="DM343" s="753"/>
      <c r="DN343" s="753"/>
      <c r="DO343" s="753"/>
      <c r="DP343" s="753"/>
      <c r="DQ343" s="753"/>
      <c r="DR343" s="753"/>
      <c r="DT343" s="775"/>
    </row>
    <row r="344" spans="1:124" s="758" customFormat="1">
      <c r="A344" s="825"/>
      <c r="B344" s="825"/>
      <c r="C344" s="825"/>
      <c r="D344" s="825"/>
      <c r="E344" s="825"/>
      <c r="F344" s="825"/>
      <c r="G344" s="825"/>
      <c r="H344" s="825"/>
      <c r="I344" s="825"/>
      <c r="J344" s="1039"/>
      <c r="K344" s="1039"/>
      <c r="L344" s="1039"/>
      <c r="M344" s="1039"/>
      <c r="N344" s="1039"/>
      <c r="O344" s="1090"/>
      <c r="P344" s="1039"/>
      <c r="Q344" s="1039"/>
      <c r="R344" s="1039"/>
      <c r="S344" s="1039"/>
      <c r="T344" s="1039"/>
      <c r="U344" s="1039"/>
      <c r="V344" s="1039"/>
      <c r="W344" s="1039"/>
      <c r="X344" s="1039"/>
      <c r="Y344" s="1039"/>
      <c r="Z344" s="1039"/>
      <c r="AA344" s="1039"/>
      <c r="AB344" s="1039"/>
      <c r="AC344" s="1039"/>
      <c r="AD344" s="1039"/>
      <c r="AE344" s="1039"/>
      <c r="AF344" s="1039"/>
      <c r="CT344" s="753"/>
      <c r="CU344" s="753"/>
      <c r="CV344" s="753"/>
      <c r="CW344" s="753"/>
      <c r="CX344" s="753"/>
      <c r="CY344" s="753"/>
      <c r="CZ344" s="753"/>
      <c r="DA344" s="753"/>
      <c r="DB344" s="753"/>
      <c r="DC344" s="753"/>
      <c r="DD344" s="753"/>
      <c r="DE344" s="753"/>
      <c r="DF344" s="753"/>
      <c r="DG344" s="753"/>
      <c r="DH344" s="753"/>
      <c r="DI344" s="753"/>
      <c r="DJ344" s="753"/>
      <c r="DK344" s="753"/>
      <c r="DL344" s="753"/>
      <c r="DM344" s="753"/>
      <c r="DN344" s="753"/>
      <c r="DO344" s="753"/>
      <c r="DP344" s="753"/>
      <c r="DQ344" s="753"/>
      <c r="DR344" s="753"/>
      <c r="DT344" s="775"/>
    </row>
    <row r="345" spans="1:124" s="758" customFormat="1">
      <c r="A345" s="825"/>
      <c r="B345" s="825"/>
      <c r="C345" s="825"/>
      <c r="D345" s="825"/>
      <c r="E345" s="825"/>
      <c r="F345" s="825"/>
      <c r="G345" s="825"/>
      <c r="H345" s="825"/>
      <c r="I345" s="825"/>
      <c r="J345" s="1039"/>
      <c r="K345" s="1039"/>
      <c r="L345" s="1039"/>
      <c r="M345" s="1039"/>
      <c r="N345" s="1039"/>
      <c r="O345" s="1090"/>
      <c r="P345" s="1039"/>
      <c r="Q345" s="1039"/>
      <c r="R345" s="1039"/>
      <c r="S345" s="1039"/>
      <c r="T345" s="1039"/>
      <c r="U345" s="1039"/>
      <c r="V345" s="1039"/>
      <c r="W345" s="1039"/>
      <c r="X345" s="1039"/>
      <c r="Y345" s="1039"/>
      <c r="Z345" s="1039"/>
      <c r="AA345" s="1039"/>
      <c r="AB345" s="1039"/>
      <c r="AC345" s="1039"/>
      <c r="AD345" s="1039"/>
      <c r="AE345" s="1039"/>
      <c r="AF345" s="1039"/>
      <c r="CT345" s="753"/>
      <c r="CU345" s="753"/>
      <c r="CV345" s="753"/>
      <c r="CW345" s="753"/>
      <c r="CX345" s="753"/>
      <c r="CY345" s="753"/>
      <c r="CZ345" s="753"/>
      <c r="DA345" s="753"/>
      <c r="DB345" s="753"/>
      <c r="DC345" s="753"/>
      <c r="DD345" s="753"/>
      <c r="DE345" s="753"/>
      <c r="DF345" s="753"/>
      <c r="DG345" s="753"/>
      <c r="DH345" s="753"/>
      <c r="DI345" s="753"/>
      <c r="DJ345" s="753"/>
      <c r="DK345" s="753"/>
      <c r="DL345" s="753"/>
      <c r="DM345" s="753"/>
      <c r="DN345" s="753"/>
      <c r="DO345" s="753"/>
      <c r="DP345" s="753"/>
      <c r="DQ345" s="753"/>
      <c r="DR345" s="753"/>
      <c r="DT345" s="775"/>
    </row>
    <row r="346" spans="1:124" s="758" customFormat="1">
      <c r="A346" s="825"/>
      <c r="B346" s="825"/>
      <c r="C346" s="825"/>
      <c r="D346" s="825"/>
      <c r="E346" s="825"/>
      <c r="F346" s="825"/>
      <c r="G346" s="825"/>
      <c r="H346" s="825"/>
      <c r="I346" s="825"/>
      <c r="J346" s="1039"/>
      <c r="K346" s="1039"/>
      <c r="L346" s="1039"/>
      <c r="M346" s="1039"/>
      <c r="N346" s="1039"/>
      <c r="O346" s="1090"/>
      <c r="P346" s="1039"/>
      <c r="Q346" s="1039"/>
      <c r="R346" s="1039"/>
      <c r="S346" s="1039"/>
      <c r="T346" s="1039"/>
      <c r="U346" s="1039"/>
      <c r="V346" s="1039"/>
      <c r="W346" s="1039"/>
      <c r="X346" s="1039"/>
      <c r="Y346" s="1039"/>
      <c r="Z346" s="1039"/>
      <c r="AA346" s="1039"/>
      <c r="AB346" s="1039"/>
      <c r="AC346" s="1039"/>
      <c r="AD346" s="1039"/>
      <c r="AE346" s="1039"/>
      <c r="AF346" s="1039"/>
      <c r="CT346" s="753"/>
      <c r="CU346" s="753"/>
      <c r="CV346" s="753"/>
      <c r="CW346" s="753"/>
      <c r="CX346" s="753"/>
      <c r="CY346" s="753"/>
      <c r="CZ346" s="753"/>
      <c r="DA346" s="753"/>
      <c r="DB346" s="753"/>
      <c r="DC346" s="753"/>
      <c r="DD346" s="753"/>
      <c r="DE346" s="753"/>
      <c r="DF346" s="753"/>
      <c r="DG346" s="753"/>
      <c r="DH346" s="753"/>
      <c r="DI346" s="753"/>
      <c r="DJ346" s="753"/>
      <c r="DK346" s="753"/>
      <c r="DL346" s="753"/>
      <c r="DM346" s="753"/>
      <c r="DN346" s="753"/>
      <c r="DO346" s="753"/>
      <c r="DP346" s="753"/>
      <c r="DQ346" s="753"/>
      <c r="DR346" s="753"/>
      <c r="DT346" s="775"/>
    </row>
    <row r="347" spans="1:124" s="758" customFormat="1">
      <c r="A347" s="825"/>
      <c r="B347" s="825"/>
      <c r="C347" s="825"/>
      <c r="D347" s="825"/>
      <c r="E347" s="825"/>
      <c r="F347" s="825"/>
      <c r="G347" s="825"/>
      <c r="H347" s="825"/>
      <c r="I347" s="825"/>
      <c r="J347" s="1039"/>
      <c r="K347" s="1039"/>
      <c r="L347" s="1039"/>
      <c r="M347" s="1039"/>
      <c r="N347" s="1039"/>
      <c r="O347" s="1090"/>
      <c r="P347" s="1039"/>
      <c r="Q347" s="1039"/>
      <c r="R347" s="1039"/>
      <c r="S347" s="1039"/>
      <c r="T347" s="1039"/>
      <c r="U347" s="1039"/>
      <c r="V347" s="1039"/>
      <c r="W347" s="1039"/>
      <c r="X347" s="1039"/>
      <c r="Y347" s="1039"/>
      <c r="Z347" s="1039"/>
      <c r="AA347" s="1039"/>
      <c r="AB347" s="1039"/>
      <c r="AC347" s="1039"/>
      <c r="AD347" s="1039"/>
      <c r="AE347" s="1039"/>
      <c r="AF347" s="1039"/>
      <c r="CT347" s="753"/>
      <c r="CU347" s="753"/>
      <c r="CV347" s="753"/>
      <c r="CW347" s="753"/>
      <c r="CX347" s="753"/>
      <c r="CY347" s="753"/>
      <c r="CZ347" s="753"/>
      <c r="DA347" s="753"/>
      <c r="DB347" s="753"/>
      <c r="DC347" s="753"/>
      <c r="DD347" s="753"/>
      <c r="DE347" s="753"/>
      <c r="DF347" s="753"/>
      <c r="DG347" s="753"/>
      <c r="DH347" s="753"/>
      <c r="DI347" s="753"/>
      <c r="DJ347" s="753"/>
      <c r="DK347" s="753"/>
      <c r="DL347" s="753"/>
      <c r="DM347" s="753"/>
      <c r="DN347" s="753"/>
      <c r="DO347" s="753"/>
      <c r="DP347" s="753"/>
      <c r="DQ347" s="753"/>
      <c r="DR347" s="753"/>
      <c r="DT347" s="775"/>
    </row>
    <row r="348" spans="1:124" s="758" customFormat="1">
      <c r="A348" s="825"/>
      <c r="B348" s="825"/>
      <c r="C348" s="825"/>
      <c r="D348" s="825"/>
      <c r="E348" s="825"/>
      <c r="F348" s="825"/>
      <c r="G348" s="825"/>
      <c r="H348" s="825"/>
      <c r="I348" s="825"/>
      <c r="J348" s="1039"/>
      <c r="K348" s="1039"/>
      <c r="L348" s="1039"/>
      <c r="M348" s="1039"/>
      <c r="N348" s="1039"/>
      <c r="O348" s="1090"/>
      <c r="P348" s="1039"/>
      <c r="Q348" s="1039"/>
      <c r="R348" s="1039"/>
      <c r="S348" s="1039"/>
      <c r="T348" s="1039"/>
      <c r="U348" s="1039"/>
      <c r="V348" s="1039"/>
      <c r="W348" s="1039"/>
      <c r="X348" s="1039"/>
      <c r="Y348" s="1039"/>
      <c r="Z348" s="1039"/>
      <c r="AA348" s="1039"/>
      <c r="AB348" s="1039"/>
      <c r="AC348" s="1039"/>
      <c r="AD348" s="1039"/>
      <c r="AE348" s="1039"/>
      <c r="AF348" s="1039"/>
      <c r="CT348" s="753"/>
      <c r="CU348" s="753"/>
      <c r="CV348" s="753"/>
      <c r="CW348" s="753"/>
      <c r="CX348" s="753"/>
      <c r="CY348" s="753"/>
      <c r="CZ348" s="753"/>
      <c r="DA348" s="753"/>
      <c r="DB348" s="753"/>
      <c r="DC348" s="753"/>
      <c r="DD348" s="753"/>
      <c r="DE348" s="753"/>
      <c r="DF348" s="753"/>
      <c r="DG348" s="753"/>
      <c r="DH348" s="753"/>
      <c r="DI348" s="753"/>
      <c r="DJ348" s="753"/>
      <c r="DK348" s="753"/>
      <c r="DL348" s="753"/>
      <c r="DM348" s="753"/>
      <c r="DN348" s="753"/>
      <c r="DO348" s="753"/>
      <c r="DP348" s="753"/>
      <c r="DQ348" s="753"/>
      <c r="DR348" s="753"/>
      <c r="DT348" s="775"/>
    </row>
    <row r="349" spans="1:124" s="758" customFormat="1">
      <c r="A349" s="825"/>
      <c r="B349" s="825"/>
      <c r="C349" s="825"/>
      <c r="D349" s="825"/>
      <c r="E349" s="825"/>
      <c r="F349" s="825"/>
      <c r="G349" s="825"/>
      <c r="H349" s="825"/>
      <c r="I349" s="825"/>
      <c r="J349" s="1039"/>
      <c r="K349" s="1039"/>
      <c r="L349" s="1039"/>
      <c r="M349" s="1039"/>
      <c r="N349" s="1039"/>
      <c r="O349" s="1090"/>
      <c r="P349" s="1039"/>
      <c r="Q349" s="1039"/>
      <c r="R349" s="1039"/>
      <c r="S349" s="1039"/>
      <c r="T349" s="1039"/>
      <c r="U349" s="1039"/>
      <c r="V349" s="1039"/>
      <c r="W349" s="1039"/>
      <c r="X349" s="1039"/>
      <c r="Y349" s="1039"/>
      <c r="Z349" s="1039"/>
      <c r="AA349" s="1039"/>
      <c r="AB349" s="1039"/>
      <c r="AC349" s="1039"/>
      <c r="AD349" s="1039"/>
      <c r="AE349" s="1039"/>
      <c r="AF349" s="1039"/>
      <c r="CT349" s="753"/>
      <c r="CU349" s="753"/>
      <c r="CV349" s="753"/>
      <c r="CW349" s="753"/>
      <c r="CX349" s="753"/>
      <c r="CY349" s="753"/>
      <c r="CZ349" s="753"/>
      <c r="DA349" s="753"/>
      <c r="DB349" s="753"/>
      <c r="DC349" s="753"/>
      <c r="DD349" s="753"/>
      <c r="DE349" s="753"/>
      <c r="DF349" s="753"/>
      <c r="DG349" s="753"/>
      <c r="DH349" s="753"/>
      <c r="DI349" s="753"/>
      <c r="DJ349" s="753"/>
      <c r="DK349" s="753"/>
      <c r="DL349" s="753"/>
      <c r="DM349" s="753"/>
      <c r="DN349" s="753"/>
      <c r="DO349" s="753"/>
      <c r="DP349" s="753"/>
      <c r="DQ349" s="753"/>
      <c r="DR349" s="753"/>
      <c r="DT349" s="775"/>
    </row>
    <row r="350" spans="1:124" s="758" customFormat="1">
      <c r="A350" s="825"/>
      <c r="B350" s="825"/>
      <c r="C350" s="825"/>
      <c r="D350" s="825"/>
      <c r="E350" s="825"/>
      <c r="F350" s="825"/>
      <c r="G350" s="825"/>
      <c r="H350" s="825"/>
      <c r="I350" s="825"/>
      <c r="J350" s="1039"/>
      <c r="K350" s="1039"/>
      <c r="L350" s="1039"/>
      <c r="M350" s="1039"/>
      <c r="N350" s="1039"/>
      <c r="O350" s="1090"/>
      <c r="P350" s="1039"/>
      <c r="Q350" s="1039"/>
      <c r="R350" s="1039"/>
      <c r="S350" s="1039"/>
      <c r="T350" s="1039"/>
      <c r="U350" s="1039"/>
      <c r="V350" s="1039"/>
      <c r="W350" s="1039"/>
      <c r="X350" s="1039"/>
      <c r="Y350" s="1039"/>
      <c r="Z350" s="1039"/>
      <c r="AA350" s="1039"/>
      <c r="AB350" s="1039"/>
      <c r="AC350" s="1039"/>
      <c r="AD350" s="1039"/>
      <c r="AE350" s="1039"/>
      <c r="AF350" s="1039"/>
      <c r="CT350" s="753"/>
      <c r="CU350" s="753"/>
      <c r="CV350" s="753"/>
      <c r="CW350" s="753"/>
      <c r="CX350" s="753"/>
      <c r="CY350" s="753"/>
      <c r="CZ350" s="753"/>
      <c r="DA350" s="753"/>
      <c r="DB350" s="753"/>
      <c r="DC350" s="753"/>
      <c r="DD350" s="753"/>
      <c r="DE350" s="753"/>
      <c r="DF350" s="753"/>
      <c r="DG350" s="753"/>
      <c r="DH350" s="753"/>
      <c r="DI350" s="753"/>
      <c r="DJ350" s="753"/>
      <c r="DK350" s="753"/>
      <c r="DL350" s="753"/>
      <c r="DM350" s="753"/>
      <c r="DN350" s="753"/>
      <c r="DO350" s="753"/>
      <c r="DP350" s="753"/>
      <c r="DQ350" s="753"/>
      <c r="DR350" s="753"/>
      <c r="DT350" s="775"/>
    </row>
    <row r="351" spans="1:124" s="758" customFormat="1">
      <c r="A351" s="825"/>
      <c r="B351" s="825"/>
      <c r="C351" s="825"/>
      <c r="D351" s="825"/>
      <c r="E351" s="825"/>
      <c r="F351" s="825"/>
      <c r="G351" s="825"/>
      <c r="H351" s="825"/>
      <c r="I351" s="825"/>
      <c r="J351" s="1039"/>
      <c r="K351" s="1039"/>
      <c r="L351" s="1039"/>
      <c r="M351" s="1039"/>
      <c r="N351" s="1039"/>
      <c r="O351" s="1090"/>
      <c r="P351" s="1039"/>
      <c r="Q351" s="1039"/>
      <c r="R351" s="1039"/>
      <c r="S351" s="1039"/>
      <c r="T351" s="1039"/>
      <c r="U351" s="1039"/>
      <c r="V351" s="1039"/>
      <c r="W351" s="1039"/>
      <c r="X351" s="1039"/>
      <c r="Y351" s="1039"/>
      <c r="Z351" s="1039"/>
      <c r="AA351" s="1039"/>
      <c r="AB351" s="1039"/>
      <c r="AC351" s="1039"/>
      <c r="AD351" s="1039"/>
      <c r="AE351" s="1039"/>
      <c r="AF351" s="1039"/>
      <c r="CT351" s="753"/>
      <c r="CU351" s="753"/>
      <c r="CV351" s="753"/>
      <c r="CW351" s="753"/>
      <c r="CX351" s="753"/>
      <c r="CY351" s="753"/>
      <c r="CZ351" s="753"/>
      <c r="DA351" s="753"/>
      <c r="DB351" s="753"/>
      <c r="DC351" s="753"/>
      <c r="DD351" s="753"/>
      <c r="DE351" s="753"/>
      <c r="DF351" s="753"/>
      <c r="DG351" s="753"/>
      <c r="DH351" s="753"/>
      <c r="DI351" s="753"/>
      <c r="DJ351" s="753"/>
      <c r="DK351" s="753"/>
      <c r="DL351" s="753"/>
      <c r="DM351" s="753"/>
      <c r="DN351" s="753"/>
      <c r="DO351" s="753"/>
      <c r="DP351" s="753"/>
      <c r="DQ351" s="753"/>
      <c r="DR351" s="753"/>
      <c r="DT351" s="775"/>
    </row>
    <row r="352" spans="1:124" s="758" customFormat="1">
      <c r="A352" s="825"/>
      <c r="B352" s="825"/>
      <c r="C352" s="825"/>
      <c r="D352" s="825"/>
      <c r="E352" s="825"/>
      <c r="F352" s="825"/>
      <c r="G352" s="825"/>
      <c r="H352" s="825"/>
      <c r="I352" s="825"/>
      <c r="J352" s="1039"/>
      <c r="K352" s="1039"/>
      <c r="L352" s="1039"/>
      <c r="M352" s="1039"/>
      <c r="N352" s="1039"/>
      <c r="O352" s="1090"/>
      <c r="P352" s="1039"/>
      <c r="Q352" s="1039"/>
      <c r="R352" s="1039"/>
      <c r="S352" s="1039"/>
      <c r="T352" s="1039"/>
      <c r="U352" s="1039"/>
      <c r="V352" s="1039"/>
      <c r="W352" s="1039"/>
      <c r="X352" s="1039"/>
      <c r="Y352" s="1039"/>
      <c r="Z352" s="1039"/>
      <c r="AA352" s="1039"/>
      <c r="AB352" s="1039"/>
      <c r="AC352" s="1039"/>
      <c r="AD352" s="1039"/>
      <c r="AE352" s="1039"/>
      <c r="AF352" s="1039"/>
      <c r="CT352" s="753"/>
      <c r="CU352" s="753"/>
      <c r="CV352" s="753"/>
      <c r="CW352" s="753"/>
      <c r="CX352" s="753"/>
      <c r="CY352" s="753"/>
      <c r="CZ352" s="753"/>
      <c r="DA352" s="753"/>
      <c r="DB352" s="753"/>
      <c r="DC352" s="753"/>
      <c r="DD352" s="753"/>
      <c r="DE352" s="753"/>
      <c r="DF352" s="753"/>
      <c r="DG352" s="753"/>
      <c r="DH352" s="753"/>
      <c r="DI352" s="753"/>
      <c r="DJ352" s="753"/>
      <c r="DK352" s="753"/>
      <c r="DL352" s="753"/>
      <c r="DM352" s="753"/>
      <c r="DN352" s="753"/>
      <c r="DO352" s="753"/>
      <c r="DP352" s="753"/>
      <c r="DQ352" s="753"/>
      <c r="DR352" s="753"/>
      <c r="DT352" s="775"/>
    </row>
    <row r="353" spans="1:124" s="758" customFormat="1">
      <c r="A353" s="825"/>
      <c r="B353" s="825"/>
      <c r="C353" s="825"/>
      <c r="D353" s="825"/>
      <c r="E353" s="825"/>
      <c r="F353" s="825"/>
      <c r="G353" s="825"/>
      <c r="H353" s="825"/>
      <c r="I353" s="825"/>
      <c r="J353" s="1039"/>
      <c r="K353" s="1039"/>
      <c r="L353" s="1039"/>
      <c r="M353" s="1039"/>
      <c r="N353" s="1039"/>
      <c r="O353" s="1090"/>
      <c r="P353" s="1039"/>
      <c r="Q353" s="1039"/>
      <c r="R353" s="1039"/>
      <c r="S353" s="1039"/>
      <c r="T353" s="1039"/>
      <c r="U353" s="1039"/>
      <c r="V353" s="1039"/>
      <c r="W353" s="1039"/>
      <c r="X353" s="1039"/>
      <c r="Y353" s="1039"/>
      <c r="Z353" s="1039"/>
      <c r="AA353" s="1039"/>
      <c r="AB353" s="1039"/>
      <c r="AC353" s="1039"/>
      <c r="AD353" s="1039"/>
      <c r="AE353" s="1039"/>
      <c r="AF353" s="1039"/>
      <c r="CT353" s="753"/>
      <c r="CU353" s="753"/>
      <c r="CV353" s="753"/>
      <c r="CW353" s="753"/>
      <c r="CX353" s="753"/>
      <c r="CY353" s="753"/>
      <c r="CZ353" s="753"/>
      <c r="DA353" s="753"/>
      <c r="DB353" s="753"/>
      <c r="DC353" s="753"/>
      <c r="DD353" s="753"/>
      <c r="DE353" s="753"/>
      <c r="DF353" s="753"/>
      <c r="DG353" s="753"/>
      <c r="DH353" s="753"/>
      <c r="DI353" s="753"/>
      <c r="DJ353" s="753"/>
      <c r="DK353" s="753"/>
      <c r="DL353" s="753"/>
      <c r="DM353" s="753"/>
      <c r="DN353" s="753"/>
      <c r="DO353" s="753"/>
      <c r="DP353" s="753"/>
      <c r="DQ353" s="753"/>
      <c r="DR353" s="753"/>
      <c r="DT353" s="775"/>
    </row>
    <row r="354" spans="1:124" s="758" customFormat="1">
      <c r="A354" s="825"/>
      <c r="B354" s="825"/>
      <c r="C354" s="825"/>
      <c r="D354" s="825"/>
      <c r="E354" s="825"/>
      <c r="F354" s="825"/>
      <c r="G354" s="825"/>
      <c r="H354" s="825"/>
      <c r="I354" s="825"/>
      <c r="J354" s="1039"/>
      <c r="K354" s="1039"/>
      <c r="L354" s="1039"/>
      <c r="M354" s="1039"/>
      <c r="N354" s="1039"/>
      <c r="O354" s="1090"/>
      <c r="P354" s="1039"/>
      <c r="Q354" s="1039"/>
      <c r="R354" s="1039"/>
      <c r="S354" s="1039"/>
      <c r="T354" s="1039"/>
      <c r="U354" s="1039"/>
      <c r="V354" s="1039"/>
      <c r="W354" s="1039"/>
      <c r="X354" s="1039"/>
      <c r="Y354" s="1039"/>
      <c r="Z354" s="1039"/>
      <c r="AA354" s="1039"/>
      <c r="AB354" s="1039"/>
      <c r="AC354" s="1039"/>
      <c r="AD354" s="1039"/>
      <c r="AE354" s="1039"/>
      <c r="AF354" s="1039"/>
      <c r="CT354" s="753"/>
      <c r="CU354" s="753"/>
      <c r="CV354" s="753"/>
      <c r="CW354" s="753"/>
      <c r="CX354" s="753"/>
      <c r="CY354" s="753"/>
      <c r="CZ354" s="753"/>
      <c r="DA354" s="753"/>
      <c r="DB354" s="753"/>
      <c r="DC354" s="753"/>
      <c r="DD354" s="753"/>
      <c r="DE354" s="753"/>
      <c r="DF354" s="753"/>
      <c r="DG354" s="753"/>
      <c r="DH354" s="753"/>
      <c r="DI354" s="753"/>
      <c r="DJ354" s="753"/>
      <c r="DK354" s="753"/>
      <c r="DL354" s="753"/>
      <c r="DM354" s="753"/>
      <c r="DN354" s="753"/>
      <c r="DO354" s="753"/>
      <c r="DP354" s="753"/>
      <c r="DQ354" s="753"/>
      <c r="DR354" s="753"/>
      <c r="DT354" s="775"/>
    </row>
    <row r="355" spans="1:124" s="758" customFormat="1">
      <c r="A355" s="825"/>
      <c r="B355" s="825"/>
      <c r="C355" s="825"/>
      <c r="D355" s="825"/>
      <c r="E355" s="825"/>
      <c r="F355" s="825"/>
      <c r="G355" s="825"/>
      <c r="H355" s="825"/>
      <c r="I355" s="825"/>
      <c r="J355" s="1039"/>
      <c r="K355" s="1039"/>
      <c r="L355" s="1039"/>
      <c r="M355" s="1039"/>
      <c r="N355" s="1039"/>
      <c r="O355" s="1090"/>
      <c r="P355" s="1039"/>
      <c r="Q355" s="1039"/>
      <c r="R355" s="1039"/>
      <c r="S355" s="1039"/>
      <c r="T355" s="1039"/>
      <c r="U355" s="1039"/>
      <c r="V355" s="1039"/>
      <c r="W355" s="1039"/>
      <c r="X355" s="1039"/>
      <c r="Y355" s="1039"/>
      <c r="Z355" s="1039"/>
      <c r="AA355" s="1039"/>
      <c r="AB355" s="1039"/>
      <c r="AC355" s="1039"/>
      <c r="AD355" s="1039"/>
      <c r="AE355" s="1039"/>
      <c r="AF355" s="1039"/>
      <c r="CT355" s="753"/>
      <c r="CU355" s="753"/>
      <c r="CV355" s="753"/>
      <c r="CW355" s="753"/>
      <c r="CX355" s="753"/>
      <c r="CY355" s="753"/>
      <c r="CZ355" s="753"/>
      <c r="DA355" s="753"/>
      <c r="DB355" s="753"/>
      <c r="DC355" s="753"/>
      <c r="DD355" s="753"/>
      <c r="DE355" s="753"/>
      <c r="DF355" s="753"/>
      <c r="DG355" s="753"/>
      <c r="DH355" s="753"/>
      <c r="DI355" s="753"/>
      <c r="DJ355" s="753"/>
      <c r="DK355" s="753"/>
      <c r="DL355" s="753"/>
      <c r="DM355" s="753"/>
      <c r="DN355" s="753"/>
      <c r="DO355" s="753"/>
      <c r="DP355" s="753"/>
      <c r="DQ355" s="753"/>
      <c r="DR355" s="753"/>
      <c r="DT355" s="775"/>
    </row>
    <row r="356" spans="1:124" s="758" customFormat="1">
      <c r="A356" s="825"/>
      <c r="B356" s="825"/>
      <c r="C356" s="825"/>
      <c r="D356" s="825"/>
      <c r="E356" s="825"/>
      <c r="F356" s="825"/>
      <c r="G356" s="825"/>
      <c r="H356" s="825"/>
      <c r="I356" s="825"/>
      <c r="J356" s="1039"/>
      <c r="K356" s="1039"/>
      <c r="L356" s="1039"/>
      <c r="M356" s="1039"/>
      <c r="N356" s="1039"/>
      <c r="O356" s="1090"/>
      <c r="P356" s="1039"/>
      <c r="Q356" s="1039"/>
      <c r="R356" s="1039"/>
      <c r="S356" s="1039"/>
      <c r="T356" s="1039"/>
      <c r="U356" s="1039"/>
      <c r="V356" s="1039"/>
      <c r="W356" s="1039"/>
      <c r="X356" s="1039"/>
      <c r="Y356" s="1039"/>
      <c r="Z356" s="1039"/>
      <c r="AA356" s="1039"/>
      <c r="AB356" s="1039"/>
      <c r="AC356" s="1039"/>
      <c r="AD356" s="1039"/>
      <c r="AE356" s="1039"/>
      <c r="AF356" s="1039"/>
      <c r="CT356" s="753"/>
      <c r="CU356" s="753"/>
      <c r="CV356" s="753"/>
      <c r="CW356" s="753"/>
      <c r="CX356" s="753"/>
      <c r="CY356" s="753"/>
      <c r="CZ356" s="753"/>
      <c r="DA356" s="753"/>
      <c r="DB356" s="753"/>
      <c r="DC356" s="753"/>
      <c r="DD356" s="753"/>
      <c r="DE356" s="753"/>
      <c r="DF356" s="753"/>
      <c r="DG356" s="753"/>
      <c r="DH356" s="753"/>
      <c r="DI356" s="753"/>
      <c r="DJ356" s="753"/>
      <c r="DK356" s="753"/>
      <c r="DL356" s="753"/>
      <c r="DM356" s="753"/>
      <c r="DN356" s="753"/>
      <c r="DO356" s="753"/>
      <c r="DP356" s="753"/>
      <c r="DQ356" s="753"/>
      <c r="DR356" s="753"/>
      <c r="DT356" s="775"/>
    </row>
    <row r="357" spans="1:124" s="758" customFormat="1">
      <c r="A357" s="825"/>
      <c r="B357" s="825"/>
      <c r="C357" s="825"/>
      <c r="D357" s="825"/>
      <c r="E357" s="825"/>
      <c r="F357" s="825"/>
      <c r="G357" s="825"/>
      <c r="H357" s="825"/>
      <c r="I357" s="825"/>
      <c r="J357" s="1039"/>
      <c r="K357" s="1039"/>
      <c r="L357" s="1039"/>
      <c r="M357" s="1039"/>
      <c r="N357" s="1039"/>
      <c r="O357" s="1090"/>
      <c r="P357" s="1039"/>
      <c r="Q357" s="1039"/>
      <c r="R357" s="1039"/>
      <c r="S357" s="1039"/>
      <c r="T357" s="1039"/>
      <c r="U357" s="1039"/>
      <c r="V357" s="1039"/>
      <c r="W357" s="1039"/>
      <c r="X357" s="1039"/>
      <c r="Y357" s="1039"/>
      <c r="Z357" s="1039"/>
      <c r="AA357" s="1039"/>
      <c r="AB357" s="1039"/>
      <c r="AC357" s="1039"/>
      <c r="AD357" s="1039"/>
      <c r="AE357" s="1039"/>
      <c r="AF357" s="1039"/>
      <c r="CT357" s="753"/>
      <c r="CU357" s="753"/>
      <c r="CV357" s="753"/>
      <c r="CW357" s="753"/>
      <c r="CX357" s="753"/>
      <c r="CY357" s="753"/>
      <c r="CZ357" s="753"/>
      <c r="DA357" s="753"/>
      <c r="DB357" s="753"/>
      <c r="DC357" s="753"/>
      <c r="DD357" s="753"/>
      <c r="DE357" s="753"/>
      <c r="DF357" s="753"/>
      <c r="DG357" s="753"/>
      <c r="DH357" s="753"/>
      <c r="DI357" s="753"/>
      <c r="DJ357" s="753"/>
      <c r="DK357" s="753"/>
      <c r="DL357" s="753"/>
      <c r="DM357" s="753"/>
      <c r="DN357" s="753"/>
      <c r="DO357" s="753"/>
      <c r="DP357" s="753"/>
      <c r="DQ357" s="753"/>
      <c r="DR357" s="753"/>
      <c r="DT357" s="775"/>
    </row>
    <row r="358" spans="1:124" s="758" customFormat="1">
      <c r="A358" s="825"/>
      <c r="B358" s="825"/>
      <c r="C358" s="825"/>
      <c r="D358" s="825"/>
      <c r="E358" s="825"/>
      <c r="F358" s="825"/>
      <c r="G358" s="825"/>
      <c r="H358" s="825"/>
      <c r="I358" s="825"/>
      <c r="J358" s="1039"/>
      <c r="K358" s="1039"/>
      <c r="L358" s="1039"/>
      <c r="M358" s="1039"/>
      <c r="N358" s="1039"/>
      <c r="O358" s="1090"/>
      <c r="P358" s="1039"/>
      <c r="Q358" s="1039"/>
      <c r="R358" s="1039"/>
      <c r="S358" s="1039"/>
      <c r="T358" s="1039"/>
      <c r="U358" s="1039"/>
      <c r="V358" s="1039"/>
      <c r="W358" s="1039"/>
      <c r="X358" s="1039"/>
      <c r="Y358" s="1039"/>
      <c r="Z358" s="1039"/>
      <c r="AA358" s="1039"/>
      <c r="AB358" s="1039"/>
      <c r="AC358" s="1039"/>
      <c r="AD358" s="1039"/>
      <c r="AE358" s="1039"/>
      <c r="AF358" s="1039"/>
      <c r="CT358" s="753"/>
      <c r="CU358" s="753"/>
      <c r="CV358" s="753"/>
      <c r="CW358" s="753"/>
      <c r="CX358" s="753"/>
      <c r="CY358" s="753"/>
      <c r="CZ358" s="753"/>
      <c r="DA358" s="753"/>
      <c r="DB358" s="753"/>
      <c r="DC358" s="753"/>
      <c r="DD358" s="753"/>
      <c r="DE358" s="753"/>
      <c r="DF358" s="753"/>
      <c r="DG358" s="753"/>
      <c r="DH358" s="753"/>
      <c r="DI358" s="753"/>
      <c r="DJ358" s="753"/>
      <c r="DK358" s="753"/>
      <c r="DL358" s="753"/>
      <c r="DM358" s="753"/>
      <c r="DN358" s="753"/>
      <c r="DO358" s="753"/>
      <c r="DP358" s="753"/>
      <c r="DQ358" s="753"/>
      <c r="DR358" s="753"/>
      <c r="DT358" s="775"/>
    </row>
    <row r="359" spans="1:124" s="758" customFormat="1">
      <c r="A359" s="825"/>
      <c r="B359" s="825"/>
      <c r="C359" s="825"/>
      <c r="D359" s="825"/>
      <c r="E359" s="825"/>
      <c r="F359" s="825"/>
      <c r="G359" s="825"/>
      <c r="H359" s="825"/>
      <c r="I359" s="825"/>
      <c r="J359" s="1039"/>
      <c r="K359" s="1039"/>
      <c r="L359" s="1039"/>
      <c r="M359" s="1039"/>
      <c r="N359" s="1039"/>
      <c r="O359" s="1090"/>
      <c r="P359" s="1039"/>
      <c r="Q359" s="1039"/>
      <c r="R359" s="1039"/>
      <c r="S359" s="1039"/>
      <c r="T359" s="1039"/>
      <c r="U359" s="1039"/>
      <c r="V359" s="1039"/>
      <c r="W359" s="1039"/>
      <c r="X359" s="1039"/>
      <c r="Y359" s="1039"/>
      <c r="Z359" s="1039"/>
      <c r="AA359" s="1039"/>
      <c r="AB359" s="1039"/>
      <c r="AC359" s="1039"/>
      <c r="AD359" s="1039"/>
      <c r="AE359" s="1039"/>
      <c r="AF359" s="1039"/>
      <c r="CT359" s="753"/>
      <c r="CU359" s="753"/>
      <c r="CV359" s="753"/>
      <c r="CW359" s="753"/>
      <c r="CX359" s="753"/>
      <c r="CY359" s="753"/>
      <c r="CZ359" s="753"/>
      <c r="DA359" s="753"/>
      <c r="DB359" s="753"/>
      <c r="DC359" s="753"/>
      <c r="DD359" s="753"/>
      <c r="DE359" s="753"/>
      <c r="DF359" s="753"/>
      <c r="DG359" s="753"/>
      <c r="DH359" s="753"/>
      <c r="DI359" s="753"/>
      <c r="DJ359" s="753"/>
      <c r="DK359" s="753"/>
      <c r="DL359" s="753"/>
      <c r="DM359" s="753"/>
      <c r="DN359" s="753"/>
      <c r="DO359" s="753"/>
      <c r="DP359" s="753"/>
      <c r="DQ359" s="753"/>
      <c r="DR359" s="753"/>
      <c r="DT359" s="775"/>
    </row>
    <row r="360" spans="1:124" s="758" customFormat="1">
      <c r="A360" s="825"/>
      <c r="B360" s="825"/>
      <c r="C360" s="825"/>
      <c r="D360" s="825"/>
      <c r="E360" s="825"/>
      <c r="F360" s="825"/>
      <c r="G360" s="825"/>
      <c r="H360" s="825"/>
      <c r="I360" s="825"/>
      <c r="J360" s="1039"/>
      <c r="K360" s="1039"/>
      <c r="L360" s="1039"/>
      <c r="M360" s="1039"/>
      <c r="N360" s="1039"/>
      <c r="O360" s="1090"/>
      <c r="P360" s="1039"/>
      <c r="Q360" s="1039"/>
      <c r="R360" s="1039"/>
      <c r="S360" s="1039"/>
      <c r="T360" s="1039"/>
      <c r="U360" s="1039"/>
      <c r="V360" s="1039"/>
      <c r="W360" s="1039"/>
      <c r="X360" s="1039"/>
      <c r="Y360" s="1039"/>
      <c r="Z360" s="1039"/>
      <c r="AA360" s="1039"/>
      <c r="AB360" s="1039"/>
      <c r="AC360" s="1039"/>
      <c r="AD360" s="1039"/>
      <c r="AE360" s="1039"/>
      <c r="AF360" s="1039"/>
      <c r="CT360" s="753"/>
      <c r="CU360" s="753"/>
      <c r="CV360" s="753"/>
      <c r="CW360" s="753"/>
      <c r="CX360" s="753"/>
      <c r="CY360" s="753"/>
      <c r="CZ360" s="753"/>
      <c r="DA360" s="753"/>
      <c r="DB360" s="753"/>
      <c r="DC360" s="753"/>
      <c r="DD360" s="753"/>
      <c r="DE360" s="753"/>
      <c r="DF360" s="753"/>
      <c r="DG360" s="753"/>
      <c r="DH360" s="753"/>
      <c r="DI360" s="753"/>
      <c r="DJ360" s="753"/>
      <c r="DK360" s="753"/>
      <c r="DL360" s="753"/>
      <c r="DM360" s="753"/>
      <c r="DN360" s="753"/>
      <c r="DO360" s="753"/>
      <c r="DP360" s="753"/>
      <c r="DQ360" s="753"/>
      <c r="DR360" s="753"/>
      <c r="DT360" s="775"/>
    </row>
    <row r="361" spans="1:124" s="758" customFormat="1">
      <c r="A361" s="825"/>
      <c r="B361" s="825"/>
      <c r="C361" s="825"/>
      <c r="D361" s="825"/>
      <c r="E361" s="825"/>
      <c r="F361" s="825"/>
      <c r="G361" s="825"/>
      <c r="H361" s="825"/>
      <c r="I361" s="825"/>
      <c r="J361" s="1039"/>
      <c r="K361" s="1039"/>
      <c r="L361" s="1039"/>
      <c r="M361" s="1039"/>
      <c r="N361" s="1039"/>
      <c r="O361" s="1090"/>
      <c r="P361" s="1039"/>
      <c r="Q361" s="1039"/>
      <c r="R361" s="1039"/>
      <c r="S361" s="1039"/>
      <c r="T361" s="1039"/>
      <c r="U361" s="1039"/>
      <c r="V361" s="1039"/>
      <c r="W361" s="1039"/>
      <c r="X361" s="1039"/>
      <c r="Y361" s="1039"/>
      <c r="Z361" s="1039"/>
      <c r="AA361" s="1039"/>
      <c r="AB361" s="1039"/>
      <c r="AC361" s="1039"/>
      <c r="AD361" s="1039"/>
      <c r="AE361" s="1039"/>
      <c r="AF361" s="1039"/>
      <c r="CT361" s="753"/>
      <c r="CU361" s="753"/>
      <c r="CV361" s="753"/>
      <c r="CW361" s="753"/>
      <c r="CX361" s="753"/>
      <c r="CY361" s="753"/>
      <c r="CZ361" s="753"/>
      <c r="DA361" s="753"/>
      <c r="DB361" s="753"/>
      <c r="DC361" s="753"/>
      <c r="DD361" s="753"/>
      <c r="DE361" s="753"/>
      <c r="DF361" s="753"/>
      <c r="DG361" s="753"/>
      <c r="DH361" s="753"/>
      <c r="DI361" s="753"/>
      <c r="DJ361" s="753"/>
      <c r="DK361" s="753"/>
      <c r="DL361" s="753"/>
      <c r="DM361" s="753"/>
      <c r="DN361" s="753"/>
      <c r="DO361" s="753"/>
      <c r="DP361" s="753"/>
      <c r="DQ361" s="753"/>
      <c r="DR361" s="753"/>
      <c r="DT361" s="775"/>
    </row>
    <row r="362" spans="1:124" s="758" customFormat="1">
      <c r="A362" s="825"/>
      <c r="B362" s="825"/>
      <c r="C362" s="825"/>
      <c r="D362" s="825"/>
      <c r="E362" s="825"/>
      <c r="F362" s="825"/>
      <c r="G362" s="825"/>
      <c r="H362" s="825"/>
      <c r="I362" s="825"/>
      <c r="J362" s="1039"/>
      <c r="K362" s="1039"/>
      <c r="L362" s="1039"/>
      <c r="M362" s="1039"/>
      <c r="N362" s="1039"/>
      <c r="O362" s="1090"/>
      <c r="P362" s="1039"/>
      <c r="Q362" s="1039"/>
      <c r="R362" s="1039"/>
      <c r="S362" s="1039"/>
      <c r="T362" s="1039"/>
      <c r="U362" s="1039"/>
      <c r="V362" s="1039"/>
      <c r="W362" s="1039"/>
      <c r="X362" s="1039"/>
      <c r="Y362" s="1039"/>
      <c r="Z362" s="1039"/>
      <c r="AA362" s="1039"/>
      <c r="AB362" s="1039"/>
      <c r="AC362" s="1039"/>
      <c r="AD362" s="1039"/>
      <c r="AE362" s="1039"/>
      <c r="AF362" s="1039"/>
      <c r="CT362" s="753"/>
      <c r="CU362" s="753"/>
      <c r="CV362" s="753"/>
      <c r="CW362" s="753"/>
      <c r="CX362" s="753"/>
      <c r="CY362" s="753"/>
      <c r="CZ362" s="753"/>
      <c r="DA362" s="753"/>
      <c r="DB362" s="753"/>
      <c r="DC362" s="753"/>
      <c r="DD362" s="753"/>
      <c r="DE362" s="753"/>
      <c r="DF362" s="753"/>
      <c r="DG362" s="753"/>
      <c r="DH362" s="753"/>
      <c r="DI362" s="753"/>
      <c r="DJ362" s="753"/>
      <c r="DK362" s="753"/>
      <c r="DL362" s="753"/>
      <c r="DM362" s="753"/>
      <c r="DN362" s="753"/>
      <c r="DO362" s="753"/>
      <c r="DP362" s="753"/>
      <c r="DQ362" s="753"/>
      <c r="DR362" s="753"/>
      <c r="DT362" s="775"/>
    </row>
    <row r="363" spans="1:124" s="758" customFormat="1">
      <c r="A363" s="825"/>
      <c r="B363" s="825"/>
      <c r="C363" s="825"/>
      <c r="D363" s="825"/>
      <c r="E363" s="825"/>
      <c r="F363" s="825"/>
      <c r="G363" s="825"/>
      <c r="H363" s="825"/>
      <c r="I363" s="825"/>
      <c r="J363" s="1039"/>
      <c r="K363" s="1039"/>
      <c r="L363" s="1039"/>
      <c r="M363" s="1039"/>
      <c r="N363" s="1039"/>
      <c r="O363" s="1090"/>
      <c r="P363" s="1039"/>
      <c r="Q363" s="1039"/>
      <c r="R363" s="1039"/>
      <c r="S363" s="1039"/>
      <c r="T363" s="1039"/>
      <c r="U363" s="1039"/>
      <c r="V363" s="1039"/>
      <c r="W363" s="1039"/>
      <c r="X363" s="1039"/>
      <c r="Y363" s="1039"/>
      <c r="Z363" s="1039"/>
      <c r="AA363" s="1039"/>
      <c r="AB363" s="1039"/>
      <c r="AC363" s="1039"/>
      <c r="AD363" s="1039"/>
      <c r="AE363" s="1039"/>
      <c r="AF363" s="1039"/>
      <c r="CT363" s="753"/>
      <c r="CU363" s="753"/>
      <c r="CV363" s="753"/>
      <c r="CW363" s="753"/>
      <c r="CX363" s="753"/>
      <c r="CY363" s="753"/>
      <c r="CZ363" s="753"/>
      <c r="DA363" s="753"/>
      <c r="DB363" s="753"/>
      <c r="DC363" s="753"/>
      <c r="DD363" s="753"/>
      <c r="DE363" s="753"/>
      <c r="DF363" s="753"/>
      <c r="DG363" s="753"/>
      <c r="DH363" s="753"/>
      <c r="DI363" s="753"/>
      <c r="DJ363" s="753"/>
      <c r="DK363" s="753"/>
      <c r="DL363" s="753"/>
      <c r="DM363" s="753"/>
      <c r="DN363" s="753"/>
      <c r="DO363" s="753"/>
      <c r="DP363" s="753"/>
      <c r="DQ363" s="753"/>
      <c r="DR363" s="753"/>
      <c r="DT363" s="775"/>
    </row>
    <row r="364" spans="1:124" s="758" customFormat="1">
      <c r="A364" s="825"/>
      <c r="B364" s="825"/>
      <c r="C364" s="825"/>
      <c r="D364" s="825"/>
      <c r="E364" s="825"/>
      <c r="F364" s="825"/>
      <c r="G364" s="825"/>
      <c r="H364" s="825"/>
      <c r="I364" s="825"/>
      <c r="J364" s="1039"/>
      <c r="K364" s="1039"/>
      <c r="L364" s="1039"/>
      <c r="M364" s="1039"/>
      <c r="N364" s="1039"/>
      <c r="O364" s="1090"/>
      <c r="P364" s="1039"/>
      <c r="Q364" s="1039"/>
      <c r="R364" s="1039"/>
      <c r="S364" s="1039"/>
      <c r="T364" s="1039"/>
      <c r="U364" s="1039"/>
      <c r="V364" s="1039"/>
      <c r="W364" s="1039"/>
      <c r="X364" s="1039"/>
      <c r="Y364" s="1039"/>
      <c r="Z364" s="1039"/>
      <c r="AA364" s="1039"/>
      <c r="AB364" s="1039"/>
      <c r="AC364" s="1039"/>
      <c r="AD364" s="1039"/>
      <c r="AE364" s="1039"/>
      <c r="AF364" s="1039"/>
      <c r="CT364" s="753"/>
      <c r="CU364" s="753"/>
      <c r="CV364" s="753"/>
      <c r="CW364" s="753"/>
      <c r="CX364" s="753"/>
      <c r="CY364" s="753"/>
      <c r="CZ364" s="753"/>
      <c r="DA364" s="753"/>
      <c r="DB364" s="753"/>
      <c r="DC364" s="753"/>
      <c r="DD364" s="753"/>
      <c r="DE364" s="753"/>
      <c r="DF364" s="753"/>
      <c r="DG364" s="753"/>
      <c r="DH364" s="753"/>
      <c r="DI364" s="753"/>
      <c r="DJ364" s="753"/>
      <c r="DK364" s="753"/>
      <c r="DL364" s="753"/>
      <c r="DM364" s="753"/>
      <c r="DN364" s="753"/>
      <c r="DO364" s="753"/>
      <c r="DP364" s="753"/>
      <c r="DQ364" s="753"/>
      <c r="DR364" s="753"/>
      <c r="DT364" s="775"/>
    </row>
    <row r="365" spans="1:124" s="758" customFormat="1">
      <c r="A365" s="825"/>
      <c r="B365" s="825"/>
      <c r="C365" s="825"/>
      <c r="D365" s="825"/>
      <c r="E365" s="825"/>
      <c r="F365" s="825"/>
      <c r="G365" s="825"/>
      <c r="H365" s="825"/>
      <c r="I365" s="825"/>
      <c r="J365" s="1039"/>
      <c r="K365" s="1039"/>
      <c r="L365" s="1039"/>
      <c r="M365" s="1039"/>
      <c r="N365" s="1039"/>
      <c r="O365" s="1090"/>
      <c r="P365" s="1039"/>
      <c r="Q365" s="1039"/>
      <c r="R365" s="1039"/>
      <c r="S365" s="1039"/>
      <c r="T365" s="1039"/>
      <c r="U365" s="1039"/>
      <c r="V365" s="1039"/>
      <c r="W365" s="1039"/>
      <c r="X365" s="1039"/>
      <c r="Y365" s="1039"/>
      <c r="Z365" s="1039"/>
      <c r="AA365" s="1039"/>
      <c r="AB365" s="1039"/>
      <c r="AC365" s="1039"/>
      <c r="AD365" s="1039"/>
      <c r="AE365" s="1039"/>
      <c r="AF365" s="1039"/>
      <c r="CT365" s="753"/>
      <c r="CU365" s="753"/>
      <c r="CV365" s="753"/>
      <c r="CW365" s="753"/>
      <c r="CX365" s="753"/>
      <c r="CY365" s="753"/>
      <c r="CZ365" s="753"/>
      <c r="DA365" s="753"/>
      <c r="DB365" s="753"/>
      <c r="DC365" s="753"/>
      <c r="DD365" s="753"/>
      <c r="DE365" s="753"/>
      <c r="DF365" s="753"/>
      <c r="DG365" s="753"/>
      <c r="DH365" s="753"/>
      <c r="DI365" s="753"/>
      <c r="DJ365" s="753"/>
      <c r="DK365" s="753"/>
      <c r="DL365" s="753"/>
      <c r="DM365" s="753"/>
      <c r="DN365" s="753"/>
      <c r="DO365" s="753"/>
      <c r="DP365" s="753"/>
      <c r="DQ365" s="753"/>
      <c r="DR365" s="753"/>
      <c r="DT365" s="775"/>
    </row>
    <row r="366" spans="1:124" s="758" customFormat="1">
      <c r="A366" s="825"/>
      <c r="B366" s="825"/>
      <c r="C366" s="825"/>
      <c r="D366" s="825"/>
      <c r="E366" s="825"/>
      <c r="F366" s="825"/>
      <c r="G366" s="825"/>
      <c r="H366" s="825"/>
      <c r="I366" s="825"/>
      <c r="J366" s="1039"/>
      <c r="K366" s="1039"/>
      <c r="L366" s="1039"/>
      <c r="M366" s="1039"/>
      <c r="N366" s="1039"/>
      <c r="O366" s="1090"/>
      <c r="P366" s="1039"/>
      <c r="Q366" s="1039"/>
      <c r="R366" s="1039"/>
      <c r="S366" s="1039"/>
      <c r="T366" s="1039"/>
      <c r="U366" s="1039"/>
      <c r="V366" s="1039"/>
      <c r="W366" s="1039"/>
      <c r="X366" s="1039"/>
      <c r="Y366" s="1039"/>
      <c r="Z366" s="1039"/>
      <c r="AA366" s="1039"/>
      <c r="AB366" s="1039"/>
      <c r="AC366" s="1039"/>
      <c r="AD366" s="1039"/>
      <c r="AE366" s="1039"/>
      <c r="AF366" s="1039"/>
      <c r="CT366" s="753"/>
      <c r="CU366" s="753"/>
      <c r="CV366" s="753"/>
      <c r="CW366" s="753"/>
      <c r="CX366" s="753"/>
      <c r="CY366" s="753"/>
      <c r="CZ366" s="753"/>
      <c r="DA366" s="753"/>
      <c r="DB366" s="753"/>
      <c r="DC366" s="753"/>
      <c r="DD366" s="753"/>
      <c r="DE366" s="753"/>
      <c r="DF366" s="753"/>
      <c r="DG366" s="753"/>
      <c r="DH366" s="753"/>
      <c r="DI366" s="753"/>
      <c r="DJ366" s="753"/>
      <c r="DK366" s="753"/>
      <c r="DL366" s="753"/>
      <c r="DM366" s="753"/>
      <c r="DN366" s="753"/>
      <c r="DO366" s="753"/>
      <c r="DP366" s="753"/>
      <c r="DQ366" s="753"/>
      <c r="DR366" s="753"/>
      <c r="DT366" s="775"/>
    </row>
    <row r="367" spans="1:124" s="758" customFormat="1">
      <c r="A367" s="825"/>
      <c r="B367" s="825"/>
      <c r="C367" s="825"/>
      <c r="D367" s="825"/>
      <c r="E367" s="825"/>
      <c r="F367" s="825"/>
      <c r="G367" s="825"/>
      <c r="H367" s="825"/>
      <c r="I367" s="825"/>
      <c r="J367" s="1039"/>
      <c r="K367" s="1039"/>
      <c r="L367" s="1039"/>
      <c r="M367" s="1039"/>
      <c r="N367" s="1039"/>
      <c r="O367" s="1090"/>
      <c r="P367" s="1039"/>
      <c r="Q367" s="1039"/>
      <c r="R367" s="1039"/>
      <c r="S367" s="1039"/>
      <c r="T367" s="1039"/>
      <c r="U367" s="1039"/>
      <c r="V367" s="1039"/>
      <c r="W367" s="1039"/>
      <c r="X367" s="1039"/>
      <c r="Y367" s="1039"/>
      <c r="Z367" s="1039"/>
      <c r="AA367" s="1039"/>
      <c r="AB367" s="1039"/>
      <c r="AC367" s="1039"/>
      <c r="AD367" s="1039"/>
      <c r="AE367" s="1039"/>
      <c r="AF367" s="1039"/>
      <c r="CT367" s="753"/>
      <c r="CU367" s="753"/>
      <c r="CV367" s="753"/>
      <c r="CW367" s="753"/>
      <c r="CX367" s="753"/>
      <c r="CY367" s="753"/>
      <c r="CZ367" s="753"/>
      <c r="DA367" s="753"/>
      <c r="DB367" s="753"/>
      <c r="DC367" s="753"/>
      <c r="DD367" s="753"/>
      <c r="DE367" s="753"/>
      <c r="DF367" s="753"/>
      <c r="DG367" s="753"/>
      <c r="DH367" s="753"/>
      <c r="DI367" s="753"/>
      <c r="DJ367" s="753"/>
      <c r="DK367" s="753"/>
      <c r="DL367" s="753"/>
      <c r="DM367" s="753"/>
      <c r="DN367" s="753"/>
      <c r="DO367" s="753"/>
      <c r="DP367" s="753"/>
      <c r="DQ367" s="753"/>
      <c r="DR367" s="753"/>
      <c r="DT367" s="775"/>
    </row>
    <row r="368" spans="1:124" s="758" customFormat="1">
      <c r="A368" s="825"/>
      <c r="B368" s="825"/>
      <c r="C368" s="825"/>
      <c r="D368" s="825"/>
      <c r="E368" s="825"/>
      <c r="F368" s="825"/>
      <c r="G368" s="825"/>
      <c r="H368" s="825"/>
      <c r="I368" s="825"/>
      <c r="J368" s="1039"/>
      <c r="K368" s="1039"/>
      <c r="L368" s="1039"/>
      <c r="M368" s="1039"/>
      <c r="N368" s="1039"/>
      <c r="O368" s="1090"/>
      <c r="P368" s="1039"/>
      <c r="Q368" s="1039"/>
      <c r="R368" s="1039"/>
      <c r="S368" s="1039"/>
      <c r="T368" s="1039"/>
      <c r="U368" s="1039"/>
      <c r="V368" s="1039"/>
      <c r="W368" s="1039"/>
      <c r="X368" s="1039"/>
      <c r="Y368" s="1039"/>
      <c r="Z368" s="1039"/>
      <c r="AA368" s="1039"/>
      <c r="AB368" s="1039"/>
      <c r="AC368" s="1039"/>
      <c r="AD368" s="1039"/>
      <c r="AE368" s="1039"/>
      <c r="AF368" s="1039"/>
      <c r="CT368" s="753"/>
      <c r="CU368" s="753"/>
      <c r="CV368" s="753"/>
      <c r="CW368" s="753"/>
      <c r="CX368" s="753"/>
      <c r="CY368" s="753"/>
      <c r="CZ368" s="753"/>
      <c r="DA368" s="753"/>
      <c r="DB368" s="753"/>
      <c r="DC368" s="753"/>
      <c r="DD368" s="753"/>
      <c r="DE368" s="753"/>
      <c r="DF368" s="753"/>
      <c r="DG368" s="753"/>
      <c r="DH368" s="753"/>
      <c r="DI368" s="753"/>
      <c r="DJ368" s="753"/>
      <c r="DK368" s="753"/>
      <c r="DL368" s="753"/>
      <c r="DM368" s="753"/>
      <c r="DN368" s="753"/>
      <c r="DO368" s="753"/>
      <c r="DP368" s="753"/>
      <c r="DQ368" s="753"/>
      <c r="DR368" s="753"/>
      <c r="DT368" s="775"/>
    </row>
    <row r="369" spans="1:124" s="758" customFormat="1">
      <c r="A369" s="825"/>
      <c r="B369" s="825"/>
      <c r="C369" s="825"/>
      <c r="D369" s="825"/>
      <c r="E369" s="825"/>
      <c r="F369" s="825"/>
      <c r="G369" s="825"/>
      <c r="H369" s="825"/>
      <c r="I369" s="825"/>
      <c r="J369" s="1039"/>
      <c r="K369" s="1039"/>
      <c r="L369" s="1039"/>
      <c r="M369" s="1039"/>
      <c r="N369" s="1039"/>
      <c r="O369" s="1090"/>
      <c r="P369" s="1039"/>
      <c r="Q369" s="1039"/>
      <c r="R369" s="1039"/>
      <c r="S369" s="1039"/>
      <c r="T369" s="1039"/>
      <c r="U369" s="1039"/>
      <c r="V369" s="1039"/>
      <c r="W369" s="1039"/>
      <c r="X369" s="1039"/>
      <c r="Y369" s="1039"/>
      <c r="Z369" s="1039"/>
      <c r="AA369" s="1039"/>
      <c r="AB369" s="1039"/>
      <c r="AC369" s="1039"/>
      <c r="AD369" s="1039"/>
      <c r="AE369" s="1039"/>
      <c r="AF369" s="1039"/>
      <c r="CT369" s="753"/>
      <c r="CU369" s="753"/>
      <c r="CV369" s="753"/>
      <c r="CW369" s="753"/>
      <c r="CX369" s="753"/>
      <c r="CY369" s="753"/>
      <c r="CZ369" s="753"/>
      <c r="DA369" s="753"/>
      <c r="DB369" s="753"/>
      <c r="DC369" s="753"/>
      <c r="DD369" s="753"/>
      <c r="DE369" s="753"/>
      <c r="DF369" s="753"/>
      <c r="DG369" s="753"/>
      <c r="DH369" s="753"/>
      <c r="DI369" s="753"/>
      <c r="DJ369" s="753"/>
      <c r="DK369" s="753"/>
      <c r="DL369" s="753"/>
      <c r="DM369" s="753"/>
      <c r="DN369" s="753"/>
      <c r="DO369" s="753"/>
      <c r="DP369" s="753"/>
      <c r="DQ369" s="753"/>
      <c r="DR369" s="753"/>
      <c r="DT369" s="775"/>
    </row>
    <row r="370" spans="1:124" s="758" customFormat="1">
      <c r="A370" s="825"/>
      <c r="B370" s="825"/>
      <c r="C370" s="825"/>
      <c r="D370" s="825"/>
      <c r="E370" s="825"/>
      <c r="F370" s="825"/>
      <c r="G370" s="825"/>
      <c r="H370" s="825"/>
      <c r="I370" s="825"/>
      <c r="J370" s="1039"/>
      <c r="K370" s="1039"/>
      <c r="L370" s="1039"/>
      <c r="M370" s="1039"/>
      <c r="N370" s="1039"/>
      <c r="O370" s="1090"/>
      <c r="P370" s="1039"/>
      <c r="Q370" s="1039"/>
      <c r="R370" s="1039"/>
      <c r="S370" s="1039"/>
      <c r="T370" s="1039"/>
      <c r="U370" s="1039"/>
      <c r="V370" s="1039"/>
      <c r="W370" s="1039"/>
      <c r="X370" s="1039"/>
      <c r="Y370" s="1039"/>
      <c r="Z370" s="1039"/>
      <c r="AA370" s="1039"/>
      <c r="AB370" s="1039"/>
      <c r="AC370" s="1039"/>
      <c r="AD370" s="1039"/>
      <c r="AE370" s="1039"/>
      <c r="AF370" s="1039"/>
      <c r="CT370" s="753"/>
      <c r="CU370" s="753"/>
      <c r="CV370" s="753"/>
      <c r="CW370" s="753"/>
      <c r="CX370" s="753"/>
      <c r="CY370" s="753"/>
      <c r="CZ370" s="753"/>
      <c r="DA370" s="753"/>
      <c r="DB370" s="753"/>
      <c r="DC370" s="753"/>
      <c r="DD370" s="753"/>
      <c r="DE370" s="753"/>
      <c r="DF370" s="753"/>
      <c r="DG370" s="753"/>
      <c r="DH370" s="753"/>
      <c r="DI370" s="753"/>
      <c r="DJ370" s="753"/>
      <c r="DK370" s="753"/>
      <c r="DL370" s="753"/>
      <c r="DM370" s="753"/>
      <c r="DN370" s="753"/>
      <c r="DO370" s="753"/>
      <c r="DP370" s="753"/>
      <c r="DQ370" s="753"/>
      <c r="DR370" s="753"/>
      <c r="DT370" s="775"/>
    </row>
    <row r="371" spans="1:124" s="758" customFormat="1">
      <c r="A371" s="825"/>
      <c r="B371" s="825"/>
      <c r="C371" s="825"/>
      <c r="D371" s="825"/>
      <c r="E371" s="825"/>
      <c r="F371" s="825"/>
      <c r="G371" s="825"/>
      <c r="H371" s="825"/>
      <c r="I371" s="825"/>
      <c r="J371" s="1039"/>
      <c r="K371" s="1039"/>
      <c r="L371" s="1039"/>
      <c r="M371" s="1039"/>
      <c r="N371" s="1039"/>
      <c r="O371" s="1090"/>
      <c r="P371" s="1039"/>
      <c r="Q371" s="1039"/>
      <c r="R371" s="1039"/>
      <c r="S371" s="1039"/>
      <c r="T371" s="1039"/>
      <c r="U371" s="1039"/>
      <c r="V371" s="1039"/>
      <c r="W371" s="1039"/>
      <c r="X371" s="1039"/>
      <c r="Y371" s="1039"/>
      <c r="Z371" s="1039"/>
      <c r="AA371" s="1039"/>
      <c r="AB371" s="1039"/>
      <c r="AC371" s="1039"/>
      <c r="AD371" s="1039"/>
      <c r="AE371" s="1039"/>
      <c r="AF371" s="1039"/>
      <c r="CT371" s="753"/>
      <c r="CU371" s="753"/>
      <c r="CV371" s="753"/>
      <c r="CW371" s="753"/>
      <c r="CX371" s="753"/>
      <c r="CY371" s="753"/>
      <c r="CZ371" s="753"/>
      <c r="DA371" s="753"/>
      <c r="DB371" s="753"/>
      <c r="DC371" s="753"/>
      <c r="DD371" s="753"/>
      <c r="DE371" s="753"/>
      <c r="DF371" s="753"/>
      <c r="DG371" s="753"/>
      <c r="DH371" s="753"/>
      <c r="DI371" s="753"/>
      <c r="DJ371" s="753"/>
      <c r="DK371" s="753"/>
      <c r="DL371" s="753"/>
      <c r="DM371" s="753"/>
      <c r="DN371" s="753"/>
      <c r="DO371" s="753"/>
      <c r="DP371" s="753"/>
      <c r="DQ371" s="753"/>
      <c r="DR371" s="753"/>
      <c r="DT371" s="775"/>
    </row>
    <row r="372" spans="1:124" s="758" customFormat="1">
      <c r="A372" s="825"/>
      <c r="B372" s="825"/>
      <c r="C372" s="825"/>
      <c r="D372" s="825"/>
      <c r="E372" s="825"/>
      <c r="F372" s="825"/>
      <c r="G372" s="825"/>
      <c r="H372" s="825"/>
      <c r="I372" s="825"/>
      <c r="J372" s="1039"/>
      <c r="K372" s="1039"/>
      <c r="L372" s="1039"/>
      <c r="M372" s="1039"/>
      <c r="N372" s="1039"/>
      <c r="O372" s="1090"/>
      <c r="P372" s="1039"/>
      <c r="Q372" s="1039"/>
      <c r="R372" s="1039"/>
      <c r="S372" s="1039"/>
      <c r="T372" s="1039"/>
      <c r="U372" s="1039"/>
      <c r="V372" s="1039"/>
      <c r="W372" s="1039"/>
      <c r="X372" s="1039"/>
      <c r="Y372" s="1039"/>
      <c r="Z372" s="1039"/>
      <c r="AA372" s="1039"/>
      <c r="AB372" s="1039"/>
      <c r="AC372" s="1039"/>
      <c r="AD372" s="1039"/>
      <c r="AE372" s="1039"/>
      <c r="AF372" s="1039"/>
      <c r="CT372" s="753"/>
      <c r="CU372" s="753"/>
      <c r="CV372" s="753"/>
      <c r="CW372" s="753"/>
      <c r="CX372" s="753"/>
      <c r="CY372" s="753"/>
      <c r="CZ372" s="753"/>
      <c r="DA372" s="753"/>
      <c r="DB372" s="753"/>
      <c r="DC372" s="753"/>
      <c r="DD372" s="753"/>
      <c r="DE372" s="753"/>
      <c r="DF372" s="753"/>
      <c r="DG372" s="753"/>
      <c r="DH372" s="753"/>
      <c r="DI372" s="753"/>
      <c r="DJ372" s="753"/>
      <c r="DK372" s="753"/>
      <c r="DL372" s="753"/>
      <c r="DM372" s="753"/>
      <c r="DN372" s="753"/>
      <c r="DO372" s="753"/>
      <c r="DP372" s="753"/>
      <c r="DQ372" s="753"/>
      <c r="DR372" s="753"/>
      <c r="DT372" s="775"/>
    </row>
    <row r="373" spans="1:124" s="758" customFormat="1">
      <c r="A373" s="825"/>
      <c r="B373" s="825"/>
      <c r="C373" s="825"/>
      <c r="D373" s="825"/>
      <c r="E373" s="825"/>
      <c r="F373" s="825"/>
      <c r="G373" s="825"/>
      <c r="H373" s="825"/>
      <c r="I373" s="825"/>
      <c r="J373" s="1039"/>
      <c r="K373" s="1039"/>
      <c r="L373" s="1039"/>
      <c r="M373" s="1039"/>
      <c r="N373" s="1039"/>
      <c r="O373" s="1090"/>
      <c r="P373" s="1039"/>
      <c r="Q373" s="1039"/>
      <c r="R373" s="1039"/>
      <c r="S373" s="1039"/>
      <c r="T373" s="1039"/>
      <c r="U373" s="1039"/>
      <c r="V373" s="1039"/>
      <c r="W373" s="1039"/>
      <c r="X373" s="1039"/>
      <c r="Y373" s="1039"/>
      <c r="Z373" s="1039"/>
      <c r="AA373" s="1039"/>
      <c r="AB373" s="1039"/>
      <c r="AC373" s="1039"/>
      <c r="AD373" s="1039"/>
      <c r="AE373" s="1039"/>
      <c r="AF373" s="1039"/>
      <c r="CT373" s="753"/>
      <c r="CU373" s="753"/>
      <c r="CV373" s="753"/>
      <c r="CW373" s="753"/>
      <c r="CX373" s="753"/>
      <c r="CY373" s="753"/>
      <c r="CZ373" s="753"/>
      <c r="DA373" s="753"/>
      <c r="DB373" s="753"/>
      <c r="DC373" s="753"/>
      <c r="DD373" s="753"/>
      <c r="DE373" s="753"/>
      <c r="DF373" s="753"/>
      <c r="DG373" s="753"/>
      <c r="DH373" s="753"/>
      <c r="DI373" s="753"/>
      <c r="DJ373" s="753"/>
      <c r="DK373" s="753"/>
      <c r="DL373" s="753"/>
      <c r="DM373" s="753"/>
      <c r="DN373" s="753"/>
      <c r="DO373" s="753"/>
      <c r="DP373" s="753"/>
      <c r="DQ373" s="753"/>
      <c r="DR373" s="753"/>
      <c r="DT373" s="775"/>
    </row>
    <row r="374" spans="1:124" s="758" customFormat="1">
      <c r="A374" s="825"/>
      <c r="B374" s="825"/>
      <c r="C374" s="825"/>
      <c r="D374" s="825"/>
      <c r="E374" s="825"/>
      <c r="F374" s="825"/>
      <c r="G374" s="825"/>
      <c r="H374" s="825"/>
      <c r="I374" s="825"/>
      <c r="J374" s="1039"/>
      <c r="K374" s="1039"/>
      <c r="L374" s="1039"/>
      <c r="M374" s="1039"/>
      <c r="N374" s="1039"/>
      <c r="O374" s="1090"/>
      <c r="P374" s="1039"/>
      <c r="Q374" s="1039"/>
      <c r="R374" s="1039"/>
      <c r="S374" s="1039"/>
      <c r="T374" s="1039"/>
      <c r="U374" s="1039"/>
      <c r="V374" s="1039"/>
      <c r="W374" s="1039"/>
      <c r="X374" s="1039"/>
      <c r="Y374" s="1039"/>
      <c r="Z374" s="1039"/>
      <c r="AA374" s="1039"/>
      <c r="AB374" s="1039"/>
      <c r="AC374" s="1039"/>
      <c r="AD374" s="1039"/>
      <c r="AE374" s="1039"/>
      <c r="AF374" s="1039"/>
      <c r="CT374" s="753"/>
      <c r="CU374" s="753"/>
      <c r="CV374" s="753"/>
      <c r="CW374" s="753"/>
      <c r="CX374" s="753"/>
      <c r="CY374" s="753"/>
      <c r="CZ374" s="753"/>
      <c r="DA374" s="753"/>
      <c r="DB374" s="753"/>
      <c r="DC374" s="753"/>
      <c r="DD374" s="753"/>
      <c r="DE374" s="753"/>
      <c r="DF374" s="753"/>
      <c r="DG374" s="753"/>
      <c r="DH374" s="753"/>
      <c r="DI374" s="753"/>
      <c r="DJ374" s="753"/>
      <c r="DK374" s="753"/>
      <c r="DL374" s="753"/>
      <c r="DM374" s="753"/>
      <c r="DN374" s="753"/>
      <c r="DO374" s="753"/>
      <c r="DP374" s="753"/>
      <c r="DQ374" s="753"/>
      <c r="DR374" s="753"/>
      <c r="DT374" s="775"/>
    </row>
    <row r="375" spans="1:124" s="758" customFormat="1">
      <c r="A375" s="825"/>
      <c r="B375" s="825"/>
      <c r="C375" s="825"/>
      <c r="D375" s="825"/>
      <c r="E375" s="825"/>
      <c r="F375" s="825"/>
      <c r="G375" s="825"/>
      <c r="H375" s="825"/>
      <c r="I375" s="825"/>
      <c r="J375" s="1039"/>
      <c r="K375" s="1039"/>
      <c r="L375" s="1039"/>
      <c r="M375" s="1039"/>
      <c r="N375" s="1039"/>
      <c r="O375" s="1090"/>
      <c r="P375" s="1039"/>
      <c r="Q375" s="1039"/>
      <c r="R375" s="1039"/>
      <c r="S375" s="1039"/>
      <c r="T375" s="1039"/>
      <c r="U375" s="1039"/>
      <c r="V375" s="1039"/>
      <c r="W375" s="1039"/>
      <c r="X375" s="1039"/>
      <c r="Y375" s="1039"/>
      <c r="Z375" s="1039"/>
      <c r="AA375" s="1039"/>
      <c r="AB375" s="1039"/>
      <c r="AC375" s="1039"/>
      <c r="AD375" s="1039"/>
      <c r="AE375" s="1039"/>
      <c r="AF375" s="1039"/>
      <c r="CT375" s="753"/>
      <c r="CU375" s="753"/>
      <c r="CV375" s="753"/>
      <c r="CW375" s="753"/>
      <c r="CX375" s="753"/>
      <c r="CY375" s="753"/>
      <c r="CZ375" s="753"/>
      <c r="DA375" s="753"/>
      <c r="DB375" s="753"/>
      <c r="DC375" s="753"/>
      <c r="DD375" s="753"/>
      <c r="DE375" s="753"/>
      <c r="DF375" s="753"/>
      <c r="DG375" s="753"/>
      <c r="DH375" s="753"/>
      <c r="DI375" s="753"/>
      <c r="DJ375" s="753"/>
      <c r="DK375" s="753"/>
      <c r="DL375" s="753"/>
      <c r="DM375" s="753"/>
      <c r="DN375" s="753"/>
      <c r="DO375" s="753"/>
      <c r="DP375" s="753"/>
      <c r="DQ375" s="753"/>
      <c r="DR375" s="753"/>
      <c r="DT375" s="775"/>
    </row>
    <row r="376" spans="1:124" s="758" customFormat="1">
      <c r="A376" s="825"/>
      <c r="B376" s="825"/>
      <c r="C376" s="825"/>
      <c r="D376" s="825"/>
      <c r="E376" s="825"/>
      <c r="F376" s="825"/>
      <c r="G376" s="825"/>
      <c r="H376" s="825"/>
      <c r="I376" s="825"/>
      <c r="J376" s="1039"/>
      <c r="K376" s="1039"/>
      <c r="L376" s="1039"/>
      <c r="M376" s="1039"/>
      <c r="N376" s="1039"/>
      <c r="O376" s="1090"/>
      <c r="P376" s="1039"/>
      <c r="Q376" s="1039"/>
      <c r="R376" s="1039"/>
      <c r="S376" s="1039"/>
      <c r="T376" s="1039"/>
      <c r="U376" s="1039"/>
      <c r="V376" s="1039"/>
      <c r="W376" s="1039"/>
      <c r="X376" s="1039"/>
      <c r="Y376" s="1039"/>
      <c r="Z376" s="1039"/>
      <c r="AA376" s="1039"/>
      <c r="AB376" s="1039"/>
      <c r="AC376" s="1039"/>
      <c r="AD376" s="1039"/>
      <c r="AE376" s="1039"/>
      <c r="AF376" s="1039"/>
      <c r="CT376" s="753"/>
      <c r="CU376" s="753"/>
      <c r="CV376" s="753"/>
      <c r="CW376" s="753"/>
      <c r="CX376" s="753"/>
      <c r="CY376" s="753"/>
      <c r="CZ376" s="753"/>
      <c r="DA376" s="753"/>
      <c r="DB376" s="753"/>
      <c r="DC376" s="753"/>
      <c r="DD376" s="753"/>
      <c r="DE376" s="753"/>
      <c r="DF376" s="753"/>
      <c r="DG376" s="753"/>
      <c r="DH376" s="753"/>
      <c r="DI376" s="753"/>
      <c r="DJ376" s="753"/>
      <c r="DK376" s="753"/>
      <c r="DL376" s="753"/>
      <c r="DM376" s="753"/>
      <c r="DN376" s="753"/>
      <c r="DO376" s="753"/>
      <c r="DP376" s="753"/>
      <c r="DQ376" s="753"/>
      <c r="DR376" s="753"/>
      <c r="DT376" s="775"/>
    </row>
    <row r="377" spans="1:124" s="758" customFormat="1">
      <c r="A377" s="825"/>
      <c r="B377" s="825"/>
      <c r="C377" s="825"/>
      <c r="D377" s="825"/>
      <c r="E377" s="825"/>
      <c r="F377" s="825"/>
      <c r="G377" s="825"/>
      <c r="H377" s="825"/>
      <c r="I377" s="825"/>
      <c r="J377" s="1039"/>
      <c r="K377" s="1039"/>
      <c r="L377" s="1039"/>
      <c r="M377" s="1039"/>
      <c r="N377" s="1039"/>
      <c r="O377" s="1090"/>
      <c r="P377" s="1039"/>
      <c r="Q377" s="1039"/>
      <c r="R377" s="1039"/>
      <c r="S377" s="1039"/>
      <c r="T377" s="1039"/>
      <c r="U377" s="1039"/>
      <c r="V377" s="1039"/>
      <c r="W377" s="1039"/>
      <c r="X377" s="1039"/>
      <c r="Y377" s="1039"/>
      <c r="Z377" s="1039"/>
      <c r="AA377" s="1039"/>
      <c r="AB377" s="1039"/>
      <c r="AC377" s="1039"/>
      <c r="AD377" s="1039"/>
      <c r="AE377" s="1039"/>
      <c r="AF377" s="1039"/>
      <c r="CT377" s="753"/>
      <c r="CU377" s="753"/>
      <c r="CV377" s="753"/>
      <c r="CW377" s="753"/>
      <c r="CX377" s="753"/>
      <c r="CY377" s="753"/>
      <c r="CZ377" s="753"/>
      <c r="DA377" s="753"/>
      <c r="DB377" s="753"/>
      <c r="DC377" s="753"/>
      <c r="DD377" s="753"/>
      <c r="DE377" s="753"/>
      <c r="DF377" s="753"/>
      <c r="DG377" s="753"/>
      <c r="DH377" s="753"/>
      <c r="DI377" s="753"/>
      <c r="DJ377" s="753"/>
      <c r="DK377" s="753"/>
      <c r="DL377" s="753"/>
      <c r="DM377" s="753"/>
      <c r="DN377" s="753"/>
      <c r="DO377" s="753"/>
      <c r="DP377" s="753"/>
      <c r="DQ377" s="753"/>
      <c r="DR377" s="753"/>
      <c r="DT377" s="775"/>
    </row>
    <row r="378" spans="1:124" s="758" customFormat="1">
      <c r="A378" s="825"/>
      <c r="B378" s="825"/>
      <c r="C378" s="825"/>
      <c r="D378" s="825"/>
      <c r="E378" s="825"/>
      <c r="F378" s="825"/>
      <c r="G378" s="825"/>
      <c r="H378" s="825"/>
      <c r="I378" s="825"/>
      <c r="J378" s="1039"/>
      <c r="K378" s="1039"/>
      <c r="L378" s="1039"/>
      <c r="M378" s="1039"/>
      <c r="N378" s="1039"/>
      <c r="O378" s="1090"/>
      <c r="P378" s="1039"/>
      <c r="Q378" s="1039"/>
      <c r="R378" s="1039"/>
      <c r="S378" s="1039"/>
      <c r="T378" s="1039"/>
      <c r="U378" s="1039"/>
      <c r="V378" s="1039"/>
      <c r="W378" s="1039"/>
      <c r="X378" s="1039"/>
      <c r="Y378" s="1039"/>
      <c r="Z378" s="1039"/>
      <c r="AA378" s="1039"/>
      <c r="AB378" s="1039"/>
      <c r="AC378" s="1039"/>
      <c r="AD378" s="1039"/>
      <c r="AE378" s="1039"/>
      <c r="AF378" s="1039"/>
      <c r="CT378" s="753"/>
      <c r="CU378" s="753"/>
      <c r="CV378" s="753"/>
      <c r="CW378" s="753"/>
      <c r="CX378" s="753"/>
      <c r="CY378" s="753"/>
      <c r="CZ378" s="753"/>
      <c r="DA378" s="753"/>
      <c r="DB378" s="753"/>
      <c r="DC378" s="753"/>
      <c r="DD378" s="753"/>
      <c r="DE378" s="753"/>
      <c r="DF378" s="753"/>
      <c r="DG378" s="753"/>
      <c r="DH378" s="753"/>
      <c r="DI378" s="753"/>
      <c r="DJ378" s="753"/>
      <c r="DK378" s="753"/>
      <c r="DL378" s="753"/>
      <c r="DM378" s="753"/>
      <c r="DN378" s="753"/>
      <c r="DO378" s="753"/>
      <c r="DP378" s="753"/>
      <c r="DQ378" s="753"/>
      <c r="DR378" s="753"/>
      <c r="DT378" s="775"/>
    </row>
    <row r="379" spans="1:124" s="758" customFormat="1">
      <c r="A379" s="825"/>
      <c r="B379" s="825"/>
      <c r="C379" s="825"/>
      <c r="D379" s="825"/>
      <c r="E379" s="825"/>
      <c r="F379" s="825"/>
      <c r="G379" s="825"/>
      <c r="H379" s="825"/>
      <c r="I379" s="825"/>
      <c r="J379" s="1039"/>
      <c r="K379" s="1039"/>
      <c r="L379" s="1039"/>
      <c r="M379" s="1039"/>
      <c r="N379" s="1039"/>
      <c r="O379" s="1090"/>
      <c r="P379" s="1039"/>
      <c r="Q379" s="1039"/>
      <c r="R379" s="1039"/>
      <c r="S379" s="1039"/>
      <c r="T379" s="1039"/>
      <c r="U379" s="1039"/>
      <c r="V379" s="1039"/>
      <c r="W379" s="1039"/>
      <c r="X379" s="1039"/>
      <c r="Y379" s="1039"/>
      <c r="Z379" s="1039"/>
      <c r="AA379" s="1039"/>
      <c r="AB379" s="1039"/>
      <c r="AC379" s="1039"/>
      <c r="AD379" s="1039"/>
      <c r="AE379" s="1039"/>
      <c r="AF379" s="1039"/>
      <c r="CT379" s="753"/>
      <c r="CU379" s="753"/>
      <c r="CV379" s="753"/>
      <c r="CW379" s="753"/>
      <c r="CX379" s="753"/>
      <c r="CY379" s="753"/>
      <c r="CZ379" s="753"/>
      <c r="DA379" s="753"/>
      <c r="DB379" s="753"/>
      <c r="DC379" s="753"/>
      <c r="DD379" s="753"/>
      <c r="DE379" s="753"/>
      <c r="DF379" s="753"/>
      <c r="DG379" s="753"/>
      <c r="DH379" s="753"/>
      <c r="DI379" s="753"/>
      <c r="DJ379" s="753"/>
      <c r="DK379" s="753"/>
      <c r="DL379" s="753"/>
      <c r="DM379" s="753"/>
      <c r="DN379" s="753"/>
      <c r="DO379" s="753"/>
      <c r="DP379" s="753"/>
      <c r="DQ379" s="753"/>
      <c r="DR379" s="753"/>
      <c r="DT379" s="775"/>
    </row>
    <row r="380" spans="1:124" s="758" customFormat="1">
      <c r="A380" s="825"/>
      <c r="B380" s="825"/>
      <c r="C380" s="825"/>
      <c r="D380" s="825"/>
      <c r="E380" s="825"/>
      <c r="F380" s="825"/>
      <c r="G380" s="825"/>
      <c r="H380" s="825"/>
      <c r="I380" s="825"/>
      <c r="J380" s="1039"/>
      <c r="K380" s="1039"/>
      <c r="L380" s="1039"/>
      <c r="M380" s="1039"/>
      <c r="N380" s="1039"/>
      <c r="O380" s="1090"/>
      <c r="P380" s="1039"/>
      <c r="Q380" s="1039"/>
      <c r="R380" s="1039"/>
      <c r="S380" s="1039"/>
      <c r="T380" s="1039"/>
      <c r="U380" s="1039"/>
      <c r="V380" s="1039"/>
      <c r="W380" s="1039"/>
      <c r="X380" s="1039"/>
      <c r="Y380" s="1039"/>
      <c r="Z380" s="1039"/>
      <c r="AA380" s="1039"/>
      <c r="AB380" s="1039"/>
      <c r="AC380" s="1039"/>
      <c r="AD380" s="1039"/>
      <c r="AE380" s="1039"/>
      <c r="AF380" s="1039"/>
      <c r="CT380" s="753"/>
      <c r="CU380" s="753"/>
      <c r="CV380" s="753"/>
      <c r="CW380" s="753"/>
      <c r="CX380" s="753"/>
      <c r="CY380" s="753"/>
      <c r="CZ380" s="753"/>
      <c r="DA380" s="753"/>
      <c r="DB380" s="753"/>
      <c r="DC380" s="753"/>
      <c r="DD380" s="753"/>
      <c r="DE380" s="753"/>
      <c r="DF380" s="753"/>
      <c r="DG380" s="753"/>
      <c r="DH380" s="753"/>
      <c r="DI380" s="753"/>
      <c r="DJ380" s="753"/>
      <c r="DK380" s="753"/>
      <c r="DL380" s="753"/>
      <c r="DM380" s="753"/>
      <c r="DN380" s="753"/>
      <c r="DO380" s="753"/>
      <c r="DP380" s="753"/>
      <c r="DQ380" s="753"/>
      <c r="DR380" s="753"/>
      <c r="DT380" s="775"/>
    </row>
    <row r="381" spans="1:124" s="758" customFormat="1">
      <c r="A381" s="825"/>
      <c r="B381" s="825"/>
      <c r="C381" s="825"/>
      <c r="D381" s="825"/>
      <c r="E381" s="825"/>
      <c r="F381" s="825"/>
      <c r="G381" s="825"/>
      <c r="H381" s="825"/>
      <c r="I381" s="825"/>
      <c r="J381" s="1039"/>
      <c r="K381" s="1039"/>
      <c r="L381" s="1039"/>
      <c r="M381" s="1039"/>
      <c r="N381" s="1039"/>
      <c r="O381" s="1090"/>
      <c r="P381" s="1039"/>
      <c r="Q381" s="1039"/>
      <c r="R381" s="1039"/>
      <c r="S381" s="1039"/>
      <c r="T381" s="1039"/>
      <c r="U381" s="1039"/>
      <c r="V381" s="1039"/>
      <c r="W381" s="1039"/>
      <c r="X381" s="1039"/>
      <c r="Y381" s="1039"/>
      <c r="Z381" s="1039"/>
      <c r="AA381" s="1039"/>
      <c r="AB381" s="1039"/>
      <c r="AC381" s="1039"/>
      <c r="AD381" s="1039"/>
      <c r="AE381" s="1039"/>
      <c r="AF381" s="1039"/>
      <c r="CT381" s="753"/>
      <c r="CU381" s="753"/>
      <c r="CV381" s="753"/>
      <c r="CW381" s="753"/>
      <c r="CX381" s="753"/>
      <c r="CY381" s="753"/>
      <c r="CZ381" s="753"/>
      <c r="DA381" s="753"/>
      <c r="DB381" s="753"/>
      <c r="DC381" s="753"/>
      <c r="DD381" s="753"/>
      <c r="DE381" s="753"/>
      <c r="DF381" s="753"/>
      <c r="DG381" s="753"/>
      <c r="DH381" s="753"/>
      <c r="DI381" s="753"/>
      <c r="DJ381" s="753"/>
      <c r="DK381" s="753"/>
      <c r="DL381" s="753"/>
      <c r="DM381" s="753"/>
      <c r="DN381" s="753"/>
      <c r="DO381" s="753"/>
      <c r="DP381" s="753"/>
      <c r="DQ381" s="753"/>
      <c r="DR381" s="753"/>
      <c r="DT381" s="775"/>
    </row>
    <row r="382" spans="1:124" s="758" customFormat="1">
      <c r="A382" s="825"/>
      <c r="B382" s="825"/>
      <c r="C382" s="825"/>
      <c r="D382" s="825"/>
      <c r="E382" s="825"/>
      <c r="F382" s="825"/>
      <c r="G382" s="825"/>
      <c r="H382" s="825"/>
      <c r="I382" s="825"/>
      <c r="J382" s="1039"/>
      <c r="K382" s="1039"/>
      <c r="L382" s="1039"/>
      <c r="M382" s="1039"/>
      <c r="N382" s="1039"/>
      <c r="O382" s="1090"/>
      <c r="P382" s="1039"/>
      <c r="Q382" s="1039"/>
      <c r="R382" s="1039"/>
      <c r="S382" s="1039"/>
      <c r="T382" s="1039"/>
      <c r="U382" s="1039"/>
      <c r="V382" s="1039"/>
      <c r="W382" s="1039"/>
      <c r="X382" s="1039"/>
      <c r="Y382" s="1039"/>
      <c r="Z382" s="1039"/>
      <c r="AA382" s="1039"/>
      <c r="AB382" s="1039"/>
      <c r="AC382" s="1039"/>
      <c r="AD382" s="1039"/>
      <c r="AE382" s="1039"/>
      <c r="AF382" s="1039"/>
      <c r="CT382" s="753"/>
      <c r="CU382" s="753"/>
      <c r="CV382" s="753"/>
      <c r="CW382" s="753"/>
      <c r="CX382" s="753"/>
      <c r="CY382" s="753"/>
      <c r="CZ382" s="753"/>
      <c r="DA382" s="753"/>
      <c r="DB382" s="753"/>
      <c r="DC382" s="753"/>
      <c r="DD382" s="753"/>
      <c r="DE382" s="753"/>
      <c r="DF382" s="753"/>
      <c r="DG382" s="753"/>
      <c r="DH382" s="753"/>
      <c r="DI382" s="753"/>
      <c r="DJ382" s="753"/>
      <c r="DK382" s="753"/>
      <c r="DL382" s="753"/>
      <c r="DM382" s="753"/>
      <c r="DN382" s="753"/>
      <c r="DO382" s="753"/>
      <c r="DP382" s="753"/>
      <c r="DQ382" s="753"/>
      <c r="DR382" s="753"/>
      <c r="DT382" s="775"/>
    </row>
    <row r="383" spans="1:124" s="758" customFormat="1">
      <c r="A383" s="825"/>
      <c r="B383" s="825"/>
      <c r="C383" s="825"/>
      <c r="D383" s="825"/>
      <c r="E383" s="825"/>
      <c r="F383" s="825"/>
      <c r="G383" s="825"/>
      <c r="H383" s="825"/>
      <c r="I383" s="825"/>
      <c r="J383" s="1039"/>
      <c r="K383" s="1039"/>
      <c r="L383" s="1039"/>
      <c r="M383" s="1039"/>
      <c r="N383" s="1039"/>
      <c r="O383" s="1090"/>
      <c r="P383" s="1039"/>
      <c r="Q383" s="1039"/>
      <c r="R383" s="1039"/>
      <c r="S383" s="1039"/>
      <c r="T383" s="1039"/>
      <c r="U383" s="1039"/>
      <c r="V383" s="1039"/>
      <c r="W383" s="1039"/>
      <c r="X383" s="1039"/>
      <c r="Y383" s="1039"/>
      <c r="Z383" s="1039"/>
      <c r="AA383" s="1039"/>
      <c r="AB383" s="1039"/>
      <c r="AC383" s="1039"/>
      <c r="AD383" s="1039"/>
      <c r="AE383" s="1039"/>
      <c r="AF383" s="1039"/>
      <c r="CT383" s="753"/>
      <c r="CU383" s="753"/>
      <c r="CV383" s="753"/>
      <c r="CW383" s="753"/>
      <c r="CX383" s="753"/>
      <c r="CY383" s="753"/>
      <c r="CZ383" s="753"/>
      <c r="DA383" s="753"/>
      <c r="DB383" s="753"/>
      <c r="DC383" s="753"/>
      <c r="DD383" s="753"/>
      <c r="DE383" s="753"/>
      <c r="DF383" s="753"/>
      <c r="DG383" s="753"/>
      <c r="DH383" s="753"/>
      <c r="DI383" s="753"/>
      <c r="DJ383" s="753"/>
      <c r="DK383" s="753"/>
      <c r="DL383" s="753"/>
      <c r="DM383" s="753"/>
      <c r="DN383" s="753"/>
      <c r="DO383" s="753"/>
      <c r="DP383" s="753"/>
      <c r="DQ383" s="753"/>
      <c r="DR383" s="753"/>
      <c r="DT383" s="775"/>
    </row>
    <row r="384" spans="1:124" s="758" customFormat="1">
      <c r="A384" s="825"/>
      <c r="B384" s="825"/>
      <c r="C384" s="825"/>
      <c r="D384" s="825"/>
      <c r="E384" s="825"/>
      <c r="F384" s="825"/>
      <c r="G384" s="825"/>
      <c r="H384" s="825"/>
      <c r="I384" s="825"/>
      <c r="J384" s="1039"/>
      <c r="K384" s="1039"/>
      <c r="L384" s="1039"/>
      <c r="M384" s="1039"/>
      <c r="N384" s="1039"/>
      <c r="O384" s="1090"/>
      <c r="P384" s="1039"/>
      <c r="Q384" s="1039"/>
      <c r="R384" s="1039"/>
      <c r="S384" s="1039"/>
      <c r="T384" s="1039"/>
      <c r="U384" s="1039"/>
      <c r="V384" s="1039"/>
      <c r="W384" s="1039"/>
      <c r="X384" s="1039"/>
      <c r="Y384" s="1039"/>
      <c r="Z384" s="1039"/>
      <c r="AA384" s="1039"/>
      <c r="AB384" s="1039"/>
      <c r="AC384" s="1039"/>
      <c r="AD384" s="1039"/>
      <c r="AE384" s="1039"/>
      <c r="AF384" s="1039"/>
      <c r="CT384" s="753"/>
      <c r="CU384" s="753"/>
      <c r="CV384" s="753"/>
      <c r="CW384" s="753"/>
      <c r="CX384" s="753"/>
      <c r="CY384" s="753"/>
      <c r="CZ384" s="753"/>
      <c r="DA384" s="753"/>
      <c r="DB384" s="753"/>
      <c r="DC384" s="753"/>
      <c r="DD384" s="753"/>
      <c r="DE384" s="753"/>
      <c r="DF384" s="753"/>
      <c r="DG384" s="753"/>
      <c r="DH384" s="753"/>
      <c r="DI384" s="753"/>
      <c r="DJ384" s="753"/>
      <c r="DK384" s="753"/>
      <c r="DL384" s="753"/>
      <c r="DM384" s="753"/>
      <c r="DN384" s="753"/>
      <c r="DO384" s="753"/>
      <c r="DP384" s="753"/>
      <c r="DQ384" s="753"/>
      <c r="DR384" s="753"/>
      <c r="DT384" s="775"/>
    </row>
    <row r="385" spans="1:124" s="758" customFormat="1">
      <c r="A385" s="825"/>
      <c r="B385" s="825"/>
      <c r="C385" s="825"/>
      <c r="D385" s="825"/>
      <c r="E385" s="825"/>
      <c r="F385" s="825"/>
      <c r="G385" s="825"/>
      <c r="H385" s="825"/>
      <c r="I385" s="825"/>
      <c r="J385" s="1039"/>
      <c r="K385" s="1039"/>
      <c r="L385" s="1039"/>
      <c r="M385" s="1039"/>
      <c r="N385" s="1039"/>
      <c r="O385" s="1090"/>
      <c r="P385" s="1039"/>
      <c r="Q385" s="1039"/>
      <c r="R385" s="1039"/>
      <c r="S385" s="1039"/>
      <c r="T385" s="1039"/>
      <c r="U385" s="1039"/>
      <c r="V385" s="1039"/>
      <c r="W385" s="1039"/>
      <c r="X385" s="1039"/>
      <c r="Y385" s="1039"/>
      <c r="Z385" s="1039"/>
      <c r="AA385" s="1039"/>
      <c r="AB385" s="1039"/>
      <c r="AC385" s="1039"/>
      <c r="AD385" s="1039"/>
      <c r="AE385" s="1039"/>
      <c r="AF385" s="1039"/>
      <c r="CT385" s="753"/>
      <c r="CU385" s="753"/>
      <c r="CV385" s="753"/>
      <c r="CW385" s="753"/>
      <c r="CX385" s="753"/>
      <c r="CY385" s="753"/>
      <c r="CZ385" s="753"/>
      <c r="DA385" s="753"/>
      <c r="DB385" s="753"/>
      <c r="DC385" s="753"/>
      <c r="DD385" s="753"/>
      <c r="DE385" s="753"/>
      <c r="DF385" s="753"/>
      <c r="DG385" s="753"/>
      <c r="DH385" s="753"/>
      <c r="DI385" s="753"/>
      <c r="DJ385" s="753"/>
      <c r="DK385" s="753"/>
      <c r="DL385" s="753"/>
      <c r="DM385" s="753"/>
      <c r="DN385" s="753"/>
      <c r="DO385" s="753"/>
      <c r="DP385" s="753"/>
      <c r="DQ385" s="753"/>
      <c r="DR385" s="753"/>
      <c r="DT385" s="775"/>
    </row>
    <row r="386" spans="1:124" s="758" customFormat="1">
      <c r="A386" s="825"/>
      <c r="B386" s="825"/>
      <c r="C386" s="825"/>
      <c r="D386" s="825"/>
      <c r="E386" s="825"/>
      <c r="F386" s="825"/>
      <c r="G386" s="825"/>
      <c r="H386" s="825"/>
      <c r="I386" s="825"/>
      <c r="J386" s="1039"/>
      <c r="K386" s="1039"/>
      <c r="L386" s="1039"/>
      <c r="M386" s="1039"/>
      <c r="N386" s="1039"/>
      <c r="O386" s="1090"/>
      <c r="P386" s="1039"/>
      <c r="Q386" s="1039"/>
      <c r="R386" s="1039"/>
      <c r="S386" s="1039"/>
      <c r="T386" s="1039"/>
      <c r="U386" s="1039"/>
      <c r="V386" s="1039"/>
      <c r="W386" s="1039"/>
      <c r="X386" s="1039"/>
      <c r="Y386" s="1039"/>
      <c r="Z386" s="1039"/>
      <c r="AA386" s="1039"/>
      <c r="AB386" s="1039"/>
      <c r="AC386" s="1039"/>
      <c r="AD386" s="1039"/>
      <c r="AE386" s="1039"/>
      <c r="AF386" s="1039"/>
      <c r="CT386" s="753"/>
      <c r="CU386" s="753"/>
      <c r="CV386" s="753"/>
      <c r="CW386" s="753"/>
      <c r="CX386" s="753"/>
      <c r="CY386" s="753"/>
      <c r="CZ386" s="753"/>
      <c r="DA386" s="753"/>
      <c r="DB386" s="753"/>
      <c r="DC386" s="753"/>
      <c r="DD386" s="753"/>
      <c r="DE386" s="753"/>
      <c r="DF386" s="753"/>
      <c r="DG386" s="753"/>
      <c r="DH386" s="753"/>
      <c r="DI386" s="753"/>
      <c r="DJ386" s="753"/>
      <c r="DK386" s="753"/>
      <c r="DL386" s="753"/>
      <c r="DM386" s="753"/>
      <c r="DN386" s="753"/>
      <c r="DO386" s="753"/>
      <c r="DP386" s="753"/>
      <c r="DQ386" s="753"/>
      <c r="DR386" s="753"/>
      <c r="DT386" s="775"/>
    </row>
    <row r="387" spans="1:124" s="758" customFormat="1">
      <c r="A387" s="825"/>
      <c r="B387" s="825"/>
      <c r="C387" s="825"/>
      <c r="D387" s="825"/>
      <c r="E387" s="825"/>
      <c r="F387" s="825"/>
      <c r="G387" s="825"/>
      <c r="H387" s="825"/>
      <c r="I387" s="825"/>
      <c r="J387" s="1039"/>
      <c r="K387" s="1039"/>
      <c r="L387" s="1039"/>
      <c r="M387" s="1039"/>
      <c r="N387" s="1039"/>
      <c r="O387" s="1090"/>
      <c r="P387" s="1039"/>
      <c r="Q387" s="1039"/>
      <c r="R387" s="1039"/>
      <c r="S387" s="1039"/>
      <c r="T387" s="1039"/>
      <c r="U387" s="1039"/>
      <c r="V387" s="1039"/>
      <c r="W387" s="1039"/>
      <c r="X387" s="1039"/>
      <c r="Y387" s="1039"/>
      <c r="Z387" s="1039"/>
      <c r="AA387" s="1039"/>
      <c r="AB387" s="1039"/>
      <c r="AC387" s="1039"/>
      <c r="AD387" s="1039"/>
      <c r="AE387" s="1039"/>
      <c r="AF387" s="1039"/>
      <c r="CT387" s="753"/>
      <c r="CU387" s="753"/>
      <c r="CV387" s="753"/>
      <c r="CW387" s="753"/>
      <c r="CX387" s="753"/>
      <c r="CY387" s="753"/>
      <c r="CZ387" s="753"/>
      <c r="DA387" s="753"/>
      <c r="DB387" s="753"/>
      <c r="DC387" s="753"/>
      <c r="DD387" s="753"/>
      <c r="DE387" s="753"/>
      <c r="DF387" s="753"/>
      <c r="DG387" s="753"/>
      <c r="DH387" s="753"/>
      <c r="DI387" s="753"/>
      <c r="DJ387" s="753"/>
      <c r="DK387" s="753"/>
      <c r="DL387" s="753"/>
      <c r="DM387" s="753"/>
      <c r="DN387" s="753"/>
      <c r="DO387" s="753"/>
      <c r="DP387" s="753"/>
      <c r="DQ387" s="753"/>
      <c r="DR387" s="753"/>
      <c r="DT387" s="775"/>
    </row>
    <row r="388" spans="1:124" s="758" customFormat="1">
      <c r="A388" s="825"/>
      <c r="B388" s="825"/>
      <c r="C388" s="825"/>
      <c r="D388" s="825"/>
      <c r="E388" s="825"/>
      <c r="F388" s="825"/>
      <c r="G388" s="825"/>
      <c r="H388" s="825"/>
      <c r="I388" s="825"/>
      <c r="J388" s="1039"/>
      <c r="K388" s="1039"/>
      <c r="L388" s="1039"/>
      <c r="M388" s="1039"/>
      <c r="N388" s="1039"/>
      <c r="O388" s="1090"/>
      <c r="P388" s="1039"/>
      <c r="Q388" s="1039"/>
      <c r="R388" s="1039"/>
      <c r="S388" s="1039"/>
      <c r="T388" s="1039"/>
      <c r="U388" s="1039"/>
      <c r="V388" s="1039"/>
      <c r="W388" s="1039"/>
      <c r="X388" s="1039"/>
      <c r="Y388" s="1039"/>
      <c r="Z388" s="1039"/>
      <c r="AA388" s="1039"/>
      <c r="AB388" s="1039"/>
      <c r="AC388" s="1039"/>
      <c r="AD388" s="1039"/>
      <c r="AE388" s="1039"/>
      <c r="AF388" s="1039"/>
      <c r="CT388" s="753"/>
      <c r="CU388" s="753"/>
      <c r="CV388" s="753"/>
      <c r="CW388" s="753"/>
      <c r="CX388" s="753"/>
      <c r="CY388" s="753"/>
      <c r="CZ388" s="753"/>
      <c r="DA388" s="753"/>
      <c r="DB388" s="753"/>
      <c r="DC388" s="753"/>
      <c r="DD388" s="753"/>
      <c r="DE388" s="753"/>
      <c r="DF388" s="753"/>
      <c r="DG388" s="753"/>
      <c r="DH388" s="753"/>
      <c r="DI388" s="753"/>
      <c r="DJ388" s="753"/>
      <c r="DK388" s="753"/>
      <c r="DL388" s="753"/>
      <c r="DM388" s="753"/>
      <c r="DN388" s="753"/>
      <c r="DO388" s="753"/>
      <c r="DP388" s="753"/>
      <c r="DQ388" s="753"/>
      <c r="DR388" s="753"/>
      <c r="DT388" s="775"/>
    </row>
  </sheetData>
  <sheetProtection sheet="1" objects="1" scenarios="1"/>
  <mergeCells count="74">
    <mergeCell ref="U100:U101"/>
    <mergeCell ref="AO76:AS76"/>
    <mergeCell ref="AO77:AS77"/>
    <mergeCell ref="AO78:AS78"/>
    <mergeCell ref="AO79:AS79"/>
    <mergeCell ref="AO80:AS80"/>
    <mergeCell ref="AO81:AS81"/>
    <mergeCell ref="AO82:AS82"/>
    <mergeCell ref="AO83:AS83"/>
    <mergeCell ref="AO84:AS84"/>
    <mergeCell ref="U90:U91"/>
    <mergeCell ref="U92:U94"/>
    <mergeCell ref="AO70:AS70"/>
    <mergeCell ref="AO71:AS71"/>
    <mergeCell ref="AO75:AS75"/>
    <mergeCell ref="AO72:AS72"/>
    <mergeCell ref="AO73:AS73"/>
    <mergeCell ref="AO74:AS74"/>
    <mergeCell ref="AO59:AS59"/>
    <mergeCell ref="AO60:AS60"/>
    <mergeCell ref="AO61:AS61"/>
    <mergeCell ref="AO62:AS62"/>
    <mergeCell ref="AO69:AS69"/>
    <mergeCell ref="AO64:AS64"/>
    <mergeCell ref="AO65:AS65"/>
    <mergeCell ref="AO66:AS66"/>
    <mergeCell ref="AO68:AS68"/>
    <mergeCell ref="AO67:AS67"/>
    <mergeCell ref="AO63:AS63"/>
    <mergeCell ref="AO54:AS54"/>
    <mergeCell ref="AO55:AS55"/>
    <mergeCell ref="AO56:AS56"/>
    <mergeCell ref="AO57:AS57"/>
    <mergeCell ref="AO58:AS58"/>
    <mergeCell ref="AO46:AS46"/>
    <mergeCell ref="AO47:AS47"/>
    <mergeCell ref="AO48:AS48"/>
    <mergeCell ref="AO49:AS49"/>
    <mergeCell ref="AO50:AS50"/>
    <mergeCell ref="AO41:AS41"/>
    <mergeCell ref="AO42:AS42"/>
    <mergeCell ref="AO43:AS43"/>
    <mergeCell ref="AO44:AS44"/>
    <mergeCell ref="AO45:AS45"/>
    <mergeCell ref="AO52:AS52"/>
    <mergeCell ref="AO53:AS53"/>
    <mergeCell ref="AO39:AS39"/>
    <mergeCell ref="AO17:AS17"/>
    <mergeCell ref="D18:I20"/>
    <mergeCell ref="AH18:AM18"/>
    <mergeCell ref="AO18:AS18"/>
    <mergeCell ref="AO19:AS19"/>
    <mergeCell ref="AO20:AS20"/>
    <mergeCell ref="AO21:AS21"/>
    <mergeCell ref="AO22:AS22"/>
    <mergeCell ref="AO23:AS23"/>
    <mergeCell ref="AO37:AS37"/>
    <mergeCell ref="AO38:AS38"/>
    <mergeCell ref="AO51:AS51"/>
    <mergeCell ref="AO40:AS40"/>
    <mergeCell ref="AG1:AH1"/>
    <mergeCell ref="AO16:AS16"/>
    <mergeCell ref="AO6:AS6"/>
    <mergeCell ref="AO7:AS7"/>
    <mergeCell ref="AO8:AS8"/>
    <mergeCell ref="AO9:AS9"/>
    <mergeCell ref="AO10:AS10"/>
    <mergeCell ref="AO11:AS11"/>
    <mergeCell ref="AO12:AS12"/>
    <mergeCell ref="AO13:AS13"/>
    <mergeCell ref="AO14:AS14"/>
    <mergeCell ref="AO15:AS15"/>
    <mergeCell ref="AH6:AK6"/>
    <mergeCell ref="AH9:AM9"/>
  </mergeCells>
  <dataValidations disablePrompts="1" count="16">
    <dataValidation allowBlank="1" showInputMessage="1" showErrorMessage="1" prompt="The 1.0 Sec. Mapped Spectral Response Acceleration value, S1, can be determined either from ASCE 7-05 Figures 22-1 through 22-14 on pages 210-227, or by using the earthquake Ground Motion Parameters Calculator downloaded from the USGS website." sqref="WVK98305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dataValidation allowBlank="1" showInputMessage="1" showErrorMessage="1" prompt="The 0.2 Sec. Mapped Spectral Response Acceleration value, Ss, can be determined either from ASCE 7-05 Figures 22-1 through 22-14 on pages 210-227, or by using the earthquake Ground Motion Parameters Calculator downloaded from the USGS website._x000a_" sqref="WVK98305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dataValidation allowBlank="1" showInputMessage="1" showErrorMessage="1" prompt="Location Zip Code can be used to determine Design Spectral Response Acceleration values, Ss and S1.  An earthquake Ground Motion Parameters Calculator may be downloaded from the USGS website at: _x000a_http://earthquake.usgs.gov/hazards/designmaps/javacalc.php" sqref="WVK98305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dataValidation allowBlank="1" showInputMessage="1" showErrorMessage="1" prompt="The Actual Calculated Period, Tc, is the period determined from an independent analysis for the structure, in lieu of using the ASCE 7-05 Code formula for the approximate period, Ta._x000a_If Tc is not known, then input 0 or clear contents of cell._x000a_" sqref="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dataValidation type="list" allowBlank="1" showInputMessage="1" showErrorMessage="1"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formula1>$K$3:$K$6</formula1>
    </dataValidation>
    <dataValidation allowBlank="1" showInputMessage="1" showErrorMessage="1" prompt="Program automatically selects Seismic Factor, &quot;I&quot; from ASCE 7-05 Table 11.5-1, page 116, based on the Occupancy Category selected." sqref="WVK98304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dataValidation allowBlank="1" showInputMessage="1" showErrorMessage="1" prompt="The long period transition period, TL, can be determined either by using Figure 22-15 through 22-20 on pages 228-233, or from Location Zip Code using the USGS web site at:_x000a_http://eqhazmaps.usgs.gov" sqref="WVK98305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dataValidation type="list" allowBlank="1" showInputMessage="1" showErrorMessage="1" prompt="When soil properties are not known in sufficient detail to determine the site class, Site Class D shall be used unless the building official determines that Class E or F soil is likely to be present at the site."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$K$10:$K$15</formula1>
    </dataValidation>
    <dataValidation type="list" allowBlank="1" showInputMessage="1" showErrorMessage="1" errorTitle="Warning!" error="Invalid steel yield strength" sqref="RDZ983108:RDZ983115 JF68:JF75 TB68:TB75 ACX68:ACX75 AMT68:AMT75 AWP68:AWP75 BGL68:BGL75 BQH68:BQH75 CAD68:CAD75 CJZ68:CJZ75 CTV68:CTV75 DDR68:DDR75 DNN68:DNN75 DXJ68:DXJ75 EHF68:EHF75 ERB68:ERB75 FAX68:FAX75 FKT68:FKT75 FUP68:FUP75 GEL68:GEL75 GOH68:GOH75 GYD68:GYD75 HHZ68:HHZ75 HRV68:HRV75 IBR68:IBR75 ILN68:ILN75 IVJ68:IVJ75 JFF68:JFF75 JPB68:JPB75 JYX68:JYX75 KIT68:KIT75 KSP68:KSP75 LCL68:LCL75 LMH68:LMH75 LWD68:LWD75 MFZ68:MFZ75 MPV68:MPV75 MZR68:MZR75 NJN68:NJN75 NTJ68:NTJ75 ODF68:ODF75 ONB68:ONB75 OWX68:OWX75 PGT68:PGT75 PQP68:PQP75 QAL68:QAL75 QKH68:QKH75 QUD68:QUD75 RDZ68:RDZ75 RNV68:RNV75 RXR68:RXR75 SHN68:SHN75 SRJ68:SRJ75 TBF68:TBF75 TLB68:TLB75 TUX68:TUX75 UET68:UET75 UOP68:UOP75 UYL68:UYL75 VIH68:VIH75 VSD68:VSD75 WBZ68:WBZ75 WLV68:WLV75 WVR68:WVR75 RNV983108:RNV983115 JF65604:JF65611 TB65604:TB65611 ACX65604:ACX65611 AMT65604:AMT65611 AWP65604:AWP65611 BGL65604:BGL65611 BQH65604:BQH65611 CAD65604:CAD65611 CJZ65604:CJZ65611 CTV65604:CTV65611 DDR65604:DDR65611 DNN65604:DNN65611 DXJ65604:DXJ65611 EHF65604:EHF65611 ERB65604:ERB65611 FAX65604:FAX65611 FKT65604:FKT65611 FUP65604:FUP65611 GEL65604:GEL65611 GOH65604:GOH65611 GYD65604:GYD65611 HHZ65604:HHZ65611 HRV65604:HRV65611 IBR65604:IBR65611 ILN65604:ILN65611 IVJ65604:IVJ65611 JFF65604:JFF65611 JPB65604:JPB65611 JYX65604:JYX65611 KIT65604:KIT65611 KSP65604:KSP65611 LCL65604:LCL65611 LMH65604:LMH65611 LWD65604:LWD65611 MFZ65604:MFZ65611 MPV65604:MPV65611 MZR65604:MZR65611 NJN65604:NJN65611 NTJ65604:NTJ65611 ODF65604:ODF65611 ONB65604:ONB65611 OWX65604:OWX65611 PGT65604:PGT65611 PQP65604:PQP65611 QAL65604:QAL65611 QKH65604:QKH65611 QUD65604:QUD65611 RDZ65604:RDZ65611 RNV65604:RNV65611 RXR65604:RXR65611 SHN65604:SHN65611 SRJ65604:SRJ65611 TBF65604:TBF65611 TLB65604:TLB65611 TUX65604:TUX65611 UET65604:UET65611 UOP65604:UOP65611 UYL65604:UYL65611 VIH65604:VIH65611 VSD65604:VSD65611 WBZ65604:WBZ65611 WLV65604:WLV65611 WVR65604:WVR65611 RXR983108:RXR983115 JF131140:JF131147 TB131140:TB131147 ACX131140:ACX131147 AMT131140:AMT131147 AWP131140:AWP131147 BGL131140:BGL131147 BQH131140:BQH131147 CAD131140:CAD131147 CJZ131140:CJZ131147 CTV131140:CTV131147 DDR131140:DDR131147 DNN131140:DNN131147 DXJ131140:DXJ131147 EHF131140:EHF131147 ERB131140:ERB131147 FAX131140:FAX131147 FKT131140:FKT131147 FUP131140:FUP131147 GEL131140:GEL131147 GOH131140:GOH131147 GYD131140:GYD131147 HHZ131140:HHZ131147 HRV131140:HRV131147 IBR131140:IBR131147 ILN131140:ILN131147 IVJ131140:IVJ131147 JFF131140:JFF131147 JPB131140:JPB131147 JYX131140:JYX131147 KIT131140:KIT131147 KSP131140:KSP131147 LCL131140:LCL131147 LMH131140:LMH131147 LWD131140:LWD131147 MFZ131140:MFZ131147 MPV131140:MPV131147 MZR131140:MZR131147 NJN131140:NJN131147 NTJ131140:NTJ131147 ODF131140:ODF131147 ONB131140:ONB131147 OWX131140:OWX131147 PGT131140:PGT131147 PQP131140:PQP131147 QAL131140:QAL131147 QKH131140:QKH131147 QUD131140:QUD131147 RDZ131140:RDZ131147 RNV131140:RNV131147 RXR131140:RXR131147 SHN131140:SHN131147 SRJ131140:SRJ131147 TBF131140:TBF131147 TLB131140:TLB131147 TUX131140:TUX131147 UET131140:UET131147 UOP131140:UOP131147 UYL131140:UYL131147 VIH131140:VIH131147 VSD131140:VSD131147 WBZ131140:WBZ131147 WLV131140:WLV131147 WVR131140:WVR131147 SHN983108:SHN983115 JF196676:JF196683 TB196676:TB196683 ACX196676:ACX196683 AMT196676:AMT196683 AWP196676:AWP196683 BGL196676:BGL196683 BQH196676:BQH196683 CAD196676:CAD196683 CJZ196676:CJZ196683 CTV196676:CTV196683 DDR196676:DDR196683 DNN196676:DNN196683 DXJ196676:DXJ196683 EHF196676:EHF196683 ERB196676:ERB196683 FAX196676:FAX196683 FKT196676:FKT196683 FUP196676:FUP196683 GEL196676:GEL196683 GOH196676:GOH196683 GYD196676:GYD196683 HHZ196676:HHZ196683 HRV196676:HRV196683 IBR196676:IBR196683 ILN196676:ILN196683 IVJ196676:IVJ196683 JFF196676:JFF196683 JPB196676:JPB196683 JYX196676:JYX196683 KIT196676:KIT196683 KSP196676:KSP196683 LCL196676:LCL196683 LMH196676:LMH196683 LWD196676:LWD196683 MFZ196676:MFZ196683 MPV196676:MPV196683 MZR196676:MZR196683 NJN196676:NJN196683 NTJ196676:NTJ196683 ODF196676:ODF196683 ONB196676:ONB196683 OWX196676:OWX196683 PGT196676:PGT196683 PQP196676:PQP196683 QAL196676:QAL196683 QKH196676:QKH196683 QUD196676:QUD196683 RDZ196676:RDZ196683 RNV196676:RNV196683 RXR196676:RXR196683 SHN196676:SHN196683 SRJ196676:SRJ196683 TBF196676:TBF196683 TLB196676:TLB196683 TUX196676:TUX196683 UET196676:UET196683 UOP196676:UOP196683 UYL196676:UYL196683 VIH196676:VIH196683 VSD196676:VSD196683 WBZ196676:WBZ196683 WLV196676:WLV196683 WVR196676:WVR196683 SRJ983108:SRJ983115 JF262212:JF262219 TB262212:TB262219 ACX262212:ACX262219 AMT262212:AMT262219 AWP262212:AWP262219 BGL262212:BGL262219 BQH262212:BQH262219 CAD262212:CAD262219 CJZ262212:CJZ262219 CTV262212:CTV262219 DDR262212:DDR262219 DNN262212:DNN262219 DXJ262212:DXJ262219 EHF262212:EHF262219 ERB262212:ERB262219 FAX262212:FAX262219 FKT262212:FKT262219 FUP262212:FUP262219 GEL262212:GEL262219 GOH262212:GOH262219 GYD262212:GYD262219 HHZ262212:HHZ262219 HRV262212:HRV262219 IBR262212:IBR262219 ILN262212:ILN262219 IVJ262212:IVJ262219 JFF262212:JFF262219 JPB262212:JPB262219 JYX262212:JYX262219 KIT262212:KIT262219 KSP262212:KSP262219 LCL262212:LCL262219 LMH262212:LMH262219 LWD262212:LWD262219 MFZ262212:MFZ262219 MPV262212:MPV262219 MZR262212:MZR262219 NJN262212:NJN262219 NTJ262212:NTJ262219 ODF262212:ODF262219 ONB262212:ONB262219 OWX262212:OWX262219 PGT262212:PGT262219 PQP262212:PQP262219 QAL262212:QAL262219 QKH262212:QKH262219 QUD262212:QUD262219 RDZ262212:RDZ262219 RNV262212:RNV262219 RXR262212:RXR262219 SHN262212:SHN262219 SRJ262212:SRJ262219 TBF262212:TBF262219 TLB262212:TLB262219 TUX262212:TUX262219 UET262212:UET262219 UOP262212:UOP262219 UYL262212:UYL262219 VIH262212:VIH262219 VSD262212:VSD262219 WBZ262212:WBZ262219 WLV262212:WLV262219 WVR262212:WVR262219 TBF983108:TBF983115 JF327748:JF327755 TB327748:TB327755 ACX327748:ACX327755 AMT327748:AMT327755 AWP327748:AWP327755 BGL327748:BGL327755 BQH327748:BQH327755 CAD327748:CAD327755 CJZ327748:CJZ327755 CTV327748:CTV327755 DDR327748:DDR327755 DNN327748:DNN327755 DXJ327748:DXJ327755 EHF327748:EHF327755 ERB327748:ERB327755 FAX327748:FAX327755 FKT327748:FKT327755 FUP327748:FUP327755 GEL327748:GEL327755 GOH327748:GOH327755 GYD327748:GYD327755 HHZ327748:HHZ327755 HRV327748:HRV327755 IBR327748:IBR327755 ILN327748:ILN327755 IVJ327748:IVJ327755 JFF327748:JFF327755 JPB327748:JPB327755 JYX327748:JYX327755 KIT327748:KIT327755 KSP327748:KSP327755 LCL327748:LCL327755 LMH327748:LMH327755 LWD327748:LWD327755 MFZ327748:MFZ327755 MPV327748:MPV327755 MZR327748:MZR327755 NJN327748:NJN327755 NTJ327748:NTJ327755 ODF327748:ODF327755 ONB327748:ONB327755 OWX327748:OWX327755 PGT327748:PGT327755 PQP327748:PQP327755 QAL327748:QAL327755 QKH327748:QKH327755 QUD327748:QUD327755 RDZ327748:RDZ327755 RNV327748:RNV327755 RXR327748:RXR327755 SHN327748:SHN327755 SRJ327748:SRJ327755 TBF327748:TBF327755 TLB327748:TLB327755 TUX327748:TUX327755 UET327748:UET327755 UOP327748:UOP327755 UYL327748:UYL327755 VIH327748:VIH327755 VSD327748:VSD327755 WBZ327748:WBZ327755 WLV327748:WLV327755 WVR327748:WVR327755 TLB983108:TLB983115 JF393284:JF393291 TB393284:TB393291 ACX393284:ACX393291 AMT393284:AMT393291 AWP393284:AWP393291 BGL393284:BGL393291 BQH393284:BQH393291 CAD393284:CAD393291 CJZ393284:CJZ393291 CTV393284:CTV393291 DDR393284:DDR393291 DNN393284:DNN393291 DXJ393284:DXJ393291 EHF393284:EHF393291 ERB393284:ERB393291 FAX393284:FAX393291 FKT393284:FKT393291 FUP393284:FUP393291 GEL393284:GEL393291 GOH393284:GOH393291 GYD393284:GYD393291 HHZ393284:HHZ393291 HRV393284:HRV393291 IBR393284:IBR393291 ILN393284:ILN393291 IVJ393284:IVJ393291 JFF393284:JFF393291 JPB393284:JPB393291 JYX393284:JYX393291 KIT393284:KIT393291 KSP393284:KSP393291 LCL393284:LCL393291 LMH393284:LMH393291 LWD393284:LWD393291 MFZ393284:MFZ393291 MPV393284:MPV393291 MZR393284:MZR393291 NJN393284:NJN393291 NTJ393284:NTJ393291 ODF393284:ODF393291 ONB393284:ONB393291 OWX393284:OWX393291 PGT393284:PGT393291 PQP393284:PQP393291 QAL393284:QAL393291 QKH393284:QKH393291 QUD393284:QUD393291 RDZ393284:RDZ393291 RNV393284:RNV393291 RXR393284:RXR393291 SHN393284:SHN393291 SRJ393284:SRJ393291 TBF393284:TBF393291 TLB393284:TLB393291 TUX393284:TUX393291 UET393284:UET393291 UOP393284:UOP393291 UYL393284:UYL393291 VIH393284:VIH393291 VSD393284:VSD393291 WBZ393284:WBZ393291 WLV393284:WLV393291 WVR393284:WVR393291 TUX983108:TUX983115 JF458820:JF458827 TB458820:TB458827 ACX458820:ACX458827 AMT458820:AMT458827 AWP458820:AWP458827 BGL458820:BGL458827 BQH458820:BQH458827 CAD458820:CAD458827 CJZ458820:CJZ458827 CTV458820:CTV458827 DDR458820:DDR458827 DNN458820:DNN458827 DXJ458820:DXJ458827 EHF458820:EHF458827 ERB458820:ERB458827 FAX458820:FAX458827 FKT458820:FKT458827 FUP458820:FUP458827 GEL458820:GEL458827 GOH458820:GOH458827 GYD458820:GYD458827 HHZ458820:HHZ458827 HRV458820:HRV458827 IBR458820:IBR458827 ILN458820:ILN458827 IVJ458820:IVJ458827 JFF458820:JFF458827 JPB458820:JPB458827 JYX458820:JYX458827 KIT458820:KIT458827 KSP458820:KSP458827 LCL458820:LCL458827 LMH458820:LMH458827 LWD458820:LWD458827 MFZ458820:MFZ458827 MPV458820:MPV458827 MZR458820:MZR458827 NJN458820:NJN458827 NTJ458820:NTJ458827 ODF458820:ODF458827 ONB458820:ONB458827 OWX458820:OWX458827 PGT458820:PGT458827 PQP458820:PQP458827 QAL458820:QAL458827 QKH458820:QKH458827 QUD458820:QUD458827 RDZ458820:RDZ458827 RNV458820:RNV458827 RXR458820:RXR458827 SHN458820:SHN458827 SRJ458820:SRJ458827 TBF458820:TBF458827 TLB458820:TLB458827 TUX458820:TUX458827 UET458820:UET458827 UOP458820:UOP458827 UYL458820:UYL458827 VIH458820:VIH458827 VSD458820:VSD458827 WBZ458820:WBZ458827 WLV458820:WLV458827 WVR458820:WVR458827 UET983108:UET983115 JF524356:JF524363 TB524356:TB524363 ACX524356:ACX524363 AMT524356:AMT524363 AWP524356:AWP524363 BGL524356:BGL524363 BQH524356:BQH524363 CAD524356:CAD524363 CJZ524356:CJZ524363 CTV524356:CTV524363 DDR524356:DDR524363 DNN524356:DNN524363 DXJ524356:DXJ524363 EHF524356:EHF524363 ERB524356:ERB524363 FAX524356:FAX524363 FKT524356:FKT524363 FUP524356:FUP524363 GEL524356:GEL524363 GOH524356:GOH524363 GYD524356:GYD524363 HHZ524356:HHZ524363 HRV524356:HRV524363 IBR524356:IBR524363 ILN524356:ILN524363 IVJ524356:IVJ524363 JFF524356:JFF524363 JPB524356:JPB524363 JYX524356:JYX524363 KIT524356:KIT524363 KSP524356:KSP524363 LCL524356:LCL524363 LMH524356:LMH524363 LWD524356:LWD524363 MFZ524356:MFZ524363 MPV524356:MPV524363 MZR524356:MZR524363 NJN524356:NJN524363 NTJ524356:NTJ524363 ODF524356:ODF524363 ONB524356:ONB524363 OWX524356:OWX524363 PGT524356:PGT524363 PQP524356:PQP524363 QAL524356:QAL524363 QKH524356:QKH524363 QUD524356:QUD524363 RDZ524356:RDZ524363 RNV524356:RNV524363 RXR524356:RXR524363 SHN524356:SHN524363 SRJ524356:SRJ524363 TBF524356:TBF524363 TLB524356:TLB524363 TUX524356:TUX524363 UET524356:UET524363 UOP524356:UOP524363 UYL524356:UYL524363 VIH524356:VIH524363 VSD524356:VSD524363 WBZ524356:WBZ524363 WLV524356:WLV524363 WVR524356:WVR524363 UOP983108:UOP983115 JF589892:JF589899 TB589892:TB589899 ACX589892:ACX589899 AMT589892:AMT589899 AWP589892:AWP589899 BGL589892:BGL589899 BQH589892:BQH589899 CAD589892:CAD589899 CJZ589892:CJZ589899 CTV589892:CTV589899 DDR589892:DDR589899 DNN589892:DNN589899 DXJ589892:DXJ589899 EHF589892:EHF589899 ERB589892:ERB589899 FAX589892:FAX589899 FKT589892:FKT589899 FUP589892:FUP589899 GEL589892:GEL589899 GOH589892:GOH589899 GYD589892:GYD589899 HHZ589892:HHZ589899 HRV589892:HRV589899 IBR589892:IBR589899 ILN589892:ILN589899 IVJ589892:IVJ589899 JFF589892:JFF589899 JPB589892:JPB589899 JYX589892:JYX589899 KIT589892:KIT589899 KSP589892:KSP589899 LCL589892:LCL589899 LMH589892:LMH589899 LWD589892:LWD589899 MFZ589892:MFZ589899 MPV589892:MPV589899 MZR589892:MZR589899 NJN589892:NJN589899 NTJ589892:NTJ589899 ODF589892:ODF589899 ONB589892:ONB589899 OWX589892:OWX589899 PGT589892:PGT589899 PQP589892:PQP589899 QAL589892:QAL589899 QKH589892:QKH589899 QUD589892:QUD589899 RDZ589892:RDZ589899 RNV589892:RNV589899 RXR589892:RXR589899 SHN589892:SHN589899 SRJ589892:SRJ589899 TBF589892:TBF589899 TLB589892:TLB589899 TUX589892:TUX589899 UET589892:UET589899 UOP589892:UOP589899 UYL589892:UYL589899 VIH589892:VIH589899 VSD589892:VSD589899 WBZ589892:WBZ589899 WLV589892:WLV589899 WVR589892:WVR589899 UYL983108:UYL983115 JF655428:JF655435 TB655428:TB655435 ACX655428:ACX655435 AMT655428:AMT655435 AWP655428:AWP655435 BGL655428:BGL655435 BQH655428:BQH655435 CAD655428:CAD655435 CJZ655428:CJZ655435 CTV655428:CTV655435 DDR655428:DDR655435 DNN655428:DNN655435 DXJ655428:DXJ655435 EHF655428:EHF655435 ERB655428:ERB655435 FAX655428:FAX655435 FKT655428:FKT655435 FUP655428:FUP655435 GEL655428:GEL655435 GOH655428:GOH655435 GYD655428:GYD655435 HHZ655428:HHZ655435 HRV655428:HRV655435 IBR655428:IBR655435 ILN655428:ILN655435 IVJ655428:IVJ655435 JFF655428:JFF655435 JPB655428:JPB655435 JYX655428:JYX655435 KIT655428:KIT655435 KSP655428:KSP655435 LCL655428:LCL655435 LMH655428:LMH655435 LWD655428:LWD655435 MFZ655428:MFZ655435 MPV655428:MPV655435 MZR655428:MZR655435 NJN655428:NJN655435 NTJ655428:NTJ655435 ODF655428:ODF655435 ONB655428:ONB655435 OWX655428:OWX655435 PGT655428:PGT655435 PQP655428:PQP655435 QAL655428:QAL655435 QKH655428:QKH655435 QUD655428:QUD655435 RDZ655428:RDZ655435 RNV655428:RNV655435 RXR655428:RXR655435 SHN655428:SHN655435 SRJ655428:SRJ655435 TBF655428:TBF655435 TLB655428:TLB655435 TUX655428:TUX655435 UET655428:UET655435 UOP655428:UOP655435 UYL655428:UYL655435 VIH655428:VIH655435 VSD655428:VSD655435 WBZ655428:WBZ655435 WLV655428:WLV655435 WVR655428:WVR655435 VIH983108:VIH983115 JF720964:JF720971 TB720964:TB720971 ACX720964:ACX720971 AMT720964:AMT720971 AWP720964:AWP720971 BGL720964:BGL720971 BQH720964:BQH720971 CAD720964:CAD720971 CJZ720964:CJZ720971 CTV720964:CTV720971 DDR720964:DDR720971 DNN720964:DNN720971 DXJ720964:DXJ720971 EHF720964:EHF720971 ERB720964:ERB720971 FAX720964:FAX720971 FKT720964:FKT720971 FUP720964:FUP720971 GEL720964:GEL720971 GOH720964:GOH720971 GYD720964:GYD720971 HHZ720964:HHZ720971 HRV720964:HRV720971 IBR720964:IBR720971 ILN720964:ILN720971 IVJ720964:IVJ720971 JFF720964:JFF720971 JPB720964:JPB720971 JYX720964:JYX720971 KIT720964:KIT720971 KSP720964:KSP720971 LCL720964:LCL720971 LMH720964:LMH720971 LWD720964:LWD720971 MFZ720964:MFZ720971 MPV720964:MPV720971 MZR720964:MZR720971 NJN720964:NJN720971 NTJ720964:NTJ720971 ODF720964:ODF720971 ONB720964:ONB720971 OWX720964:OWX720971 PGT720964:PGT720971 PQP720964:PQP720971 QAL720964:QAL720971 QKH720964:QKH720971 QUD720964:QUD720971 RDZ720964:RDZ720971 RNV720964:RNV720971 RXR720964:RXR720971 SHN720964:SHN720971 SRJ720964:SRJ720971 TBF720964:TBF720971 TLB720964:TLB720971 TUX720964:TUX720971 UET720964:UET720971 UOP720964:UOP720971 UYL720964:UYL720971 VIH720964:VIH720971 VSD720964:VSD720971 WBZ720964:WBZ720971 WLV720964:WLV720971 WVR720964:WVR720971 VSD983108:VSD983115 JF786500:JF786507 TB786500:TB786507 ACX786500:ACX786507 AMT786500:AMT786507 AWP786500:AWP786507 BGL786500:BGL786507 BQH786500:BQH786507 CAD786500:CAD786507 CJZ786500:CJZ786507 CTV786500:CTV786507 DDR786500:DDR786507 DNN786500:DNN786507 DXJ786500:DXJ786507 EHF786500:EHF786507 ERB786500:ERB786507 FAX786500:FAX786507 FKT786500:FKT786507 FUP786500:FUP786507 GEL786500:GEL786507 GOH786500:GOH786507 GYD786500:GYD786507 HHZ786500:HHZ786507 HRV786500:HRV786507 IBR786500:IBR786507 ILN786500:ILN786507 IVJ786500:IVJ786507 JFF786500:JFF786507 JPB786500:JPB786507 JYX786500:JYX786507 KIT786500:KIT786507 KSP786500:KSP786507 LCL786500:LCL786507 LMH786500:LMH786507 LWD786500:LWD786507 MFZ786500:MFZ786507 MPV786500:MPV786507 MZR786500:MZR786507 NJN786500:NJN786507 NTJ786500:NTJ786507 ODF786500:ODF786507 ONB786500:ONB786507 OWX786500:OWX786507 PGT786500:PGT786507 PQP786500:PQP786507 QAL786500:QAL786507 QKH786500:QKH786507 QUD786500:QUD786507 RDZ786500:RDZ786507 RNV786500:RNV786507 RXR786500:RXR786507 SHN786500:SHN786507 SRJ786500:SRJ786507 TBF786500:TBF786507 TLB786500:TLB786507 TUX786500:TUX786507 UET786500:UET786507 UOP786500:UOP786507 UYL786500:UYL786507 VIH786500:VIH786507 VSD786500:VSD786507 WBZ786500:WBZ786507 WLV786500:WLV786507 WVR786500:WVR786507 WBZ983108:WBZ983115 JF852036:JF852043 TB852036:TB852043 ACX852036:ACX852043 AMT852036:AMT852043 AWP852036:AWP852043 BGL852036:BGL852043 BQH852036:BQH852043 CAD852036:CAD852043 CJZ852036:CJZ852043 CTV852036:CTV852043 DDR852036:DDR852043 DNN852036:DNN852043 DXJ852036:DXJ852043 EHF852036:EHF852043 ERB852036:ERB852043 FAX852036:FAX852043 FKT852036:FKT852043 FUP852036:FUP852043 GEL852036:GEL852043 GOH852036:GOH852043 GYD852036:GYD852043 HHZ852036:HHZ852043 HRV852036:HRV852043 IBR852036:IBR852043 ILN852036:ILN852043 IVJ852036:IVJ852043 JFF852036:JFF852043 JPB852036:JPB852043 JYX852036:JYX852043 KIT852036:KIT852043 KSP852036:KSP852043 LCL852036:LCL852043 LMH852036:LMH852043 LWD852036:LWD852043 MFZ852036:MFZ852043 MPV852036:MPV852043 MZR852036:MZR852043 NJN852036:NJN852043 NTJ852036:NTJ852043 ODF852036:ODF852043 ONB852036:ONB852043 OWX852036:OWX852043 PGT852036:PGT852043 PQP852036:PQP852043 QAL852036:QAL852043 QKH852036:QKH852043 QUD852036:QUD852043 RDZ852036:RDZ852043 RNV852036:RNV852043 RXR852036:RXR852043 SHN852036:SHN852043 SRJ852036:SRJ852043 TBF852036:TBF852043 TLB852036:TLB852043 TUX852036:TUX852043 UET852036:UET852043 UOP852036:UOP852043 UYL852036:UYL852043 VIH852036:VIH852043 VSD852036:VSD852043 WBZ852036:WBZ852043 WLV852036:WLV852043 WVR852036:WVR852043 WLV983108:WLV983115 JF917572:JF917579 TB917572:TB917579 ACX917572:ACX917579 AMT917572:AMT917579 AWP917572:AWP917579 BGL917572:BGL917579 BQH917572:BQH917579 CAD917572:CAD917579 CJZ917572:CJZ917579 CTV917572:CTV917579 DDR917572:DDR917579 DNN917572:DNN917579 DXJ917572:DXJ917579 EHF917572:EHF917579 ERB917572:ERB917579 FAX917572:FAX917579 FKT917572:FKT917579 FUP917572:FUP917579 GEL917572:GEL917579 GOH917572:GOH917579 GYD917572:GYD917579 HHZ917572:HHZ917579 HRV917572:HRV917579 IBR917572:IBR917579 ILN917572:ILN917579 IVJ917572:IVJ917579 JFF917572:JFF917579 JPB917572:JPB917579 JYX917572:JYX917579 KIT917572:KIT917579 KSP917572:KSP917579 LCL917572:LCL917579 LMH917572:LMH917579 LWD917572:LWD917579 MFZ917572:MFZ917579 MPV917572:MPV917579 MZR917572:MZR917579 NJN917572:NJN917579 NTJ917572:NTJ917579 ODF917572:ODF917579 ONB917572:ONB917579 OWX917572:OWX917579 PGT917572:PGT917579 PQP917572:PQP917579 QAL917572:QAL917579 QKH917572:QKH917579 QUD917572:QUD917579 RDZ917572:RDZ917579 RNV917572:RNV917579 RXR917572:RXR917579 SHN917572:SHN917579 SRJ917572:SRJ917579 TBF917572:TBF917579 TLB917572:TLB917579 TUX917572:TUX917579 UET917572:UET917579 UOP917572:UOP917579 UYL917572:UYL917579 VIH917572:VIH917579 VSD917572:VSD917579 WBZ917572:WBZ917579 WLV917572:WLV917579 WVR917572:WVR917579 WVR983108:WVR983115 JF983108:JF983115 TB983108:TB983115 ACX983108:ACX983115 AMT983108:AMT983115 AWP983108:AWP983115 BGL983108:BGL983115 BQH983108:BQH983115 CAD983108:CAD983115 CJZ983108:CJZ983115 CTV983108:CTV983115 DDR983108:DDR983115 DNN983108:DNN983115 DXJ983108:DXJ983115 EHF983108:EHF983115 ERB983108:ERB983115 FAX983108:FAX983115 FKT983108:FKT983115 FUP983108:FUP983115 GEL983108:GEL983115 GOH983108:GOH983115 GYD983108:GYD983115 HHZ983108:HHZ983115 HRV983108:HRV983115 IBR983108:IBR983115 ILN983108:ILN983115 IVJ983108:IVJ983115 JFF983108:JFF983115 JPB983108:JPB983115 JYX983108:JYX983115 KIT983108:KIT983115 KSP983108:KSP983115 LCL983108:LCL983115 LMH983108:LMH983115 LWD983108:LWD983115 MFZ983108:MFZ983115 MPV983108:MPV983115 MZR983108:MZR983115 NJN983108:NJN983115 NTJ983108:NTJ983115 ODF983108:ODF983115 ONB983108:ONB983115 OWX983108:OWX983115 PGT983108:PGT983115 PQP983108:PQP983115 QAL983108:QAL983115 QKH983108:QKH983115 QUD983108:QUD983115 J68:J75 J65604:J65611 J131140:J131147 J196676:J196683 J262212:J262219 J327748:J327755 J393284:J393291 J458820:J458827 J524356:J524363 J589892:J589899 J655428:J655435 J720964:J720971 J786500:J786507 J852036:J852043 J917572:J917579 J983108:J983115">
      <formula1>$K$6:$K$7</formula1>
    </dataValidation>
    <dataValidation type="decimal" operator="greaterThan" allowBlank="1" showInputMessage="1" showErrorMessage="1" error="Max. height MUST BE &lt;= 240 ft." prompt="'h' is the structure height above the base to the highest level of the structure." sqref="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formula1>0</formula1>
    </dataValidation>
    <dataValidation type="list" allowBlank="1" showInputMessage="1" showErrorMessage="1" prompt="Selections for Structural System are from ASCE 7-05 Tables 15.4-1 and 15.4-2, on pages 162-163." sqref="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formula1>$K$16:$K$81</formula1>
    </dataValidation>
    <dataValidation allowBlank="1" showInputMessage="1" showErrorMessage="1" prompt="Location Zip Code can be used to determine Design Spectral Response Acceleration values, Ss and S1.  An earthquake Ground Motion Parameters Calculator may be used from the USGS website at: _x000a_http://earthquake.usgs.gov/designmaps/us/application.php" sqref="C11"/>
    <dataValidation allowBlank="1" showInputMessage="1" showErrorMessage="1" prompt="The 0.2 Sec. Mapped Spectral Response Acceleration value, Ss, can be determined either from ASCE 7-10 Figures 22-1 through 22-11, or by using the earthquake Ground Motion Parameters Calculator used from the USGS website._x000a_" sqref="C12"/>
    <dataValidation allowBlank="1" showInputMessage="1" showErrorMessage="1" prompt="The 1.0 Sec. Mapped Spectral Response Acceleration value, S1, can be determined either from ASCE 7-10 Figures 22-1 through 22-11 on, or by using the earthquake Ground Motion Parameters Calculator used from the USGS website." sqref="C13"/>
    <dataValidation allowBlank="1" showInputMessage="1" showErrorMessage="1" prompt="The long period transition period, TL, can be determined either by using Figure 22-15 through 22-20 on pages 228-233, or from USGS maps located at: http://earthquake.usgs.gov/hazards/designmaps/pdfs/?code=ASCE+7&amp;edition=2010" sqref="C14"/>
    <dataValidation allowBlank="1" showInputMessage="1" showErrorMessage="1" prompt="Program automatically selects Seismic Factor, &quot;I&quot; from ASCE 7-10 Table 1.5-1, based on the Risk Category selected." sqref="C9"/>
  </dataValidations>
  <hyperlinks>
    <hyperlink ref="AH9:AM9" r:id="rId1" display="http://earthquake.usgs.gov/designmaps/us/application.php"/>
    <hyperlink ref="AH6" r:id="rId2"/>
    <hyperlink ref="AH9" r:id="rId3" display="http://earthquake.usgs.gov/hazards/designmaps/javacalc.php"/>
  </hyperlinks>
  <pageMargins left="0.7" right="0.7" top="0.75" bottom="0.75" header="0.3" footer="0.3"/>
  <pageSetup scale="91" orientation="portrait" r:id="rId4"/>
  <headerFooter>
    <oddHeader>&amp;R"ASCE710E.xls" Program
Version 1.0</oddHeader>
    <oddFooter>&amp;C&amp;P of &amp;N&amp;R&amp;D  &amp;T</oddFooter>
  </headerFooter>
  <drawing r:id="rId5"/>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E388"/>
  <sheetViews>
    <sheetView zoomScaleNormal="100" workbookViewId="0">
      <selection activeCell="J1" sqref="J1:Z1048576"/>
    </sheetView>
  </sheetViews>
  <sheetFormatPr defaultRowHeight="12.75"/>
  <cols>
    <col min="1" max="1" width="13.7109375" style="728" customWidth="1"/>
    <col min="2" max="2" width="9.85546875" style="728" customWidth="1"/>
    <col min="3" max="3" width="12.28515625" style="728" customWidth="1"/>
    <col min="4" max="4" width="10.5703125" style="728" customWidth="1"/>
    <col min="5" max="5" width="9.7109375" style="728" customWidth="1"/>
    <col min="6" max="6" width="9.42578125" style="728" customWidth="1"/>
    <col min="7" max="7" width="9.140625" style="728"/>
    <col min="8" max="8" width="8.5703125" style="728" customWidth="1"/>
    <col min="9" max="9" width="10.7109375" style="728" customWidth="1"/>
    <col min="10" max="10" width="9.140625" style="1039" hidden="1" customWidth="1"/>
    <col min="11" max="11" width="13.7109375" style="1039" hidden="1" customWidth="1"/>
    <col min="12" max="12" width="24.7109375" style="1039" hidden="1" customWidth="1"/>
    <col min="13" max="14" width="12.7109375" style="1039" hidden="1" customWidth="1"/>
    <col min="15" max="15" width="12.7109375" style="1090" hidden="1" customWidth="1"/>
    <col min="16" max="17" width="12.7109375" style="1039" hidden="1" customWidth="1"/>
    <col min="18" max="19" width="9.140625" style="1039" hidden="1" customWidth="1"/>
    <col min="20" max="20" width="4.7109375" style="1039" hidden="1" customWidth="1"/>
    <col min="21" max="21" width="86.7109375" style="1039" hidden="1" customWidth="1"/>
    <col min="22" max="24" width="9.7109375" style="1039" hidden="1" customWidth="1"/>
    <col min="25" max="26" width="9.140625" style="1039" hidden="1" customWidth="1"/>
    <col min="27" max="27" width="11.28515625" style="77" customWidth="1"/>
    <col min="28" max="28" width="10.140625" style="77" customWidth="1"/>
    <col min="29" max="29" width="12.85546875" style="77" customWidth="1"/>
    <col min="30" max="31" width="10.140625" style="77" customWidth="1"/>
    <col min="32" max="34" width="9.140625" style="77" customWidth="1"/>
    <col min="35" max="39" width="10.28515625" style="926" customWidth="1"/>
    <col min="40" max="41" width="12.7109375" style="926" customWidth="1"/>
    <col min="42" max="117" width="9.140625" style="77" customWidth="1"/>
    <col min="118" max="118" width="9.140625" style="128" customWidth="1"/>
    <col min="119" max="197" width="9.140625" style="77" customWidth="1"/>
    <col min="198" max="256" width="9.140625" style="77"/>
    <col min="257" max="257" width="13.7109375" style="77" customWidth="1"/>
    <col min="258" max="258" width="9.85546875" style="77" customWidth="1"/>
    <col min="259" max="259" width="12.28515625" style="77" customWidth="1"/>
    <col min="260" max="260" width="10.5703125" style="77" customWidth="1"/>
    <col min="261" max="261" width="9.7109375" style="77" customWidth="1"/>
    <col min="262" max="262" width="9.42578125" style="77" customWidth="1"/>
    <col min="263" max="263" width="9.140625" style="77"/>
    <col min="264" max="264" width="8.5703125" style="77" customWidth="1"/>
    <col min="265" max="265" width="10.7109375" style="77" customWidth="1"/>
    <col min="266" max="282" width="0" style="77" hidden="1" customWidth="1"/>
    <col min="283" max="284" width="9.140625" style="77" customWidth="1"/>
    <col min="285" max="285" width="12.85546875" style="77" customWidth="1"/>
    <col min="286" max="287" width="10.140625" style="77" customWidth="1"/>
    <col min="288" max="290" width="9.140625" style="77" customWidth="1"/>
    <col min="291" max="295" width="10.28515625" style="77" customWidth="1"/>
    <col min="296" max="297" width="12.7109375" style="77" customWidth="1"/>
    <col min="298" max="453" width="9.140625" style="77" customWidth="1"/>
    <col min="454" max="512" width="9.140625" style="77"/>
    <col min="513" max="513" width="13.7109375" style="77" customWidth="1"/>
    <col min="514" max="514" width="9.85546875" style="77" customWidth="1"/>
    <col min="515" max="515" width="12.28515625" style="77" customWidth="1"/>
    <col min="516" max="516" width="10.5703125" style="77" customWidth="1"/>
    <col min="517" max="517" width="9.7109375" style="77" customWidth="1"/>
    <col min="518" max="518" width="9.42578125" style="77" customWidth="1"/>
    <col min="519" max="519" width="9.140625" style="77"/>
    <col min="520" max="520" width="8.5703125" style="77" customWidth="1"/>
    <col min="521" max="521" width="10.7109375" style="77" customWidth="1"/>
    <col min="522" max="538" width="0" style="77" hidden="1" customWidth="1"/>
    <col min="539" max="540" width="9.140625" style="77" customWidth="1"/>
    <col min="541" max="541" width="12.85546875" style="77" customWidth="1"/>
    <col min="542" max="543" width="10.140625" style="77" customWidth="1"/>
    <col min="544" max="546" width="9.140625" style="77" customWidth="1"/>
    <col min="547" max="551" width="10.28515625" style="77" customWidth="1"/>
    <col min="552" max="553" width="12.7109375" style="77" customWidth="1"/>
    <col min="554" max="709" width="9.140625" style="77" customWidth="1"/>
    <col min="710" max="768" width="9.140625" style="77"/>
    <col min="769" max="769" width="13.7109375" style="77" customWidth="1"/>
    <col min="770" max="770" width="9.85546875" style="77" customWidth="1"/>
    <col min="771" max="771" width="12.28515625" style="77" customWidth="1"/>
    <col min="772" max="772" width="10.5703125" style="77" customWidth="1"/>
    <col min="773" max="773" width="9.7109375" style="77" customWidth="1"/>
    <col min="774" max="774" width="9.42578125" style="77" customWidth="1"/>
    <col min="775" max="775" width="9.140625" style="77"/>
    <col min="776" max="776" width="8.5703125" style="77" customWidth="1"/>
    <col min="777" max="777" width="10.7109375" style="77" customWidth="1"/>
    <col min="778" max="794" width="0" style="77" hidden="1" customWidth="1"/>
    <col min="795" max="796" width="9.140625" style="77" customWidth="1"/>
    <col min="797" max="797" width="12.85546875" style="77" customWidth="1"/>
    <col min="798" max="799" width="10.140625" style="77" customWidth="1"/>
    <col min="800" max="802" width="9.140625" style="77" customWidth="1"/>
    <col min="803" max="807" width="10.28515625" style="77" customWidth="1"/>
    <col min="808" max="809" width="12.7109375" style="77" customWidth="1"/>
    <col min="810" max="965" width="9.140625" style="77" customWidth="1"/>
    <col min="966" max="1024" width="9.140625" style="77"/>
    <col min="1025" max="1025" width="13.7109375" style="77" customWidth="1"/>
    <col min="1026" max="1026" width="9.85546875" style="77" customWidth="1"/>
    <col min="1027" max="1027" width="12.28515625" style="77" customWidth="1"/>
    <col min="1028" max="1028" width="10.5703125" style="77" customWidth="1"/>
    <col min="1029" max="1029" width="9.7109375" style="77" customWidth="1"/>
    <col min="1030" max="1030" width="9.42578125" style="77" customWidth="1"/>
    <col min="1031" max="1031" width="9.140625" style="77"/>
    <col min="1032" max="1032" width="8.5703125" style="77" customWidth="1"/>
    <col min="1033" max="1033" width="10.7109375" style="77" customWidth="1"/>
    <col min="1034" max="1050" width="0" style="77" hidden="1" customWidth="1"/>
    <col min="1051" max="1052" width="9.140625" style="77" customWidth="1"/>
    <col min="1053" max="1053" width="12.85546875" style="77" customWidth="1"/>
    <col min="1054" max="1055" width="10.140625" style="77" customWidth="1"/>
    <col min="1056" max="1058" width="9.140625" style="77" customWidth="1"/>
    <col min="1059" max="1063" width="10.28515625" style="77" customWidth="1"/>
    <col min="1064" max="1065" width="12.7109375" style="77" customWidth="1"/>
    <col min="1066" max="1221" width="9.140625" style="77" customWidth="1"/>
    <col min="1222" max="1280" width="9.140625" style="77"/>
    <col min="1281" max="1281" width="13.7109375" style="77" customWidth="1"/>
    <col min="1282" max="1282" width="9.85546875" style="77" customWidth="1"/>
    <col min="1283" max="1283" width="12.28515625" style="77" customWidth="1"/>
    <col min="1284" max="1284" width="10.5703125" style="77" customWidth="1"/>
    <col min="1285" max="1285" width="9.7109375" style="77" customWidth="1"/>
    <col min="1286" max="1286" width="9.42578125" style="77" customWidth="1"/>
    <col min="1287" max="1287" width="9.140625" style="77"/>
    <col min="1288" max="1288" width="8.5703125" style="77" customWidth="1"/>
    <col min="1289" max="1289" width="10.7109375" style="77" customWidth="1"/>
    <col min="1290" max="1306" width="0" style="77" hidden="1" customWidth="1"/>
    <col min="1307" max="1308" width="9.140625" style="77" customWidth="1"/>
    <col min="1309" max="1309" width="12.85546875" style="77" customWidth="1"/>
    <col min="1310" max="1311" width="10.140625" style="77" customWidth="1"/>
    <col min="1312" max="1314" width="9.140625" style="77" customWidth="1"/>
    <col min="1315" max="1319" width="10.28515625" style="77" customWidth="1"/>
    <col min="1320" max="1321" width="12.7109375" style="77" customWidth="1"/>
    <col min="1322" max="1477" width="9.140625" style="77" customWidth="1"/>
    <col min="1478" max="1536" width="9.140625" style="77"/>
    <col min="1537" max="1537" width="13.7109375" style="77" customWidth="1"/>
    <col min="1538" max="1538" width="9.85546875" style="77" customWidth="1"/>
    <col min="1539" max="1539" width="12.28515625" style="77" customWidth="1"/>
    <col min="1540" max="1540" width="10.5703125" style="77" customWidth="1"/>
    <col min="1541" max="1541" width="9.7109375" style="77" customWidth="1"/>
    <col min="1542" max="1542" width="9.42578125" style="77" customWidth="1"/>
    <col min="1543" max="1543" width="9.140625" style="77"/>
    <col min="1544" max="1544" width="8.5703125" style="77" customWidth="1"/>
    <col min="1545" max="1545" width="10.7109375" style="77" customWidth="1"/>
    <col min="1546" max="1562" width="0" style="77" hidden="1" customWidth="1"/>
    <col min="1563" max="1564" width="9.140625" style="77" customWidth="1"/>
    <col min="1565" max="1565" width="12.85546875" style="77" customWidth="1"/>
    <col min="1566" max="1567" width="10.140625" style="77" customWidth="1"/>
    <col min="1568" max="1570" width="9.140625" style="77" customWidth="1"/>
    <col min="1571" max="1575" width="10.28515625" style="77" customWidth="1"/>
    <col min="1576" max="1577" width="12.7109375" style="77" customWidth="1"/>
    <col min="1578" max="1733" width="9.140625" style="77" customWidth="1"/>
    <col min="1734" max="1792" width="9.140625" style="77"/>
    <col min="1793" max="1793" width="13.7109375" style="77" customWidth="1"/>
    <col min="1794" max="1794" width="9.85546875" style="77" customWidth="1"/>
    <col min="1795" max="1795" width="12.28515625" style="77" customWidth="1"/>
    <col min="1796" max="1796" width="10.5703125" style="77" customWidth="1"/>
    <col min="1797" max="1797" width="9.7109375" style="77" customWidth="1"/>
    <col min="1798" max="1798" width="9.42578125" style="77" customWidth="1"/>
    <col min="1799" max="1799" width="9.140625" style="77"/>
    <col min="1800" max="1800" width="8.5703125" style="77" customWidth="1"/>
    <col min="1801" max="1801" width="10.7109375" style="77" customWidth="1"/>
    <col min="1802" max="1818" width="0" style="77" hidden="1" customWidth="1"/>
    <col min="1819" max="1820" width="9.140625" style="77" customWidth="1"/>
    <col min="1821" max="1821" width="12.85546875" style="77" customWidth="1"/>
    <col min="1822" max="1823" width="10.140625" style="77" customWidth="1"/>
    <col min="1824" max="1826" width="9.140625" style="77" customWidth="1"/>
    <col min="1827" max="1831" width="10.28515625" style="77" customWidth="1"/>
    <col min="1832" max="1833" width="12.7109375" style="77" customWidth="1"/>
    <col min="1834" max="1989" width="9.140625" style="77" customWidth="1"/>
    <col min="1990" max="2048" width="9.140625" style="77"/>
    <col min="2049" max="2049" width="13.7109375" style="77" customWidth="1"/>
    <col min="2050" max="2050" width="9.85546875" style="77" customWidth="1"/>
    <col min="2051" max="2051" width="12.28515625" style="77" customWidth="1"/>
    <col min="2052" max="2052" width="10.5703125" style="77" customWidth="1"/>
    <col min="2053" max="2053" width="9.7109375" style="77" customWidth="1"/>
    <col min="2054" max="2054" width="9.42578125" style="77" customWidth="1"/>
    <col min="2055" max="2055" width="9.140625" style="77"/>
    <col min="2056" max="2056" width="8.5703125" style="77" customWidth="1"/>
    <col min="2057" max="2057" width="10.7109375" style="77" customWidth="1"/>
    <col min="2058" max="2074" width="0" style="77" hidden="1" customWidth="1"/>
    <col min="2075" max="2076" width="9.140625" style="77" customWidth="1"/>
    <col min="2077" max="2077" width="12.85546875" style="77" customWidth="1"/>
    <col min="2078" max="2079" width="10.140625" style="77" customWidth="1"/>
    <col min="2080" max="2082" width="9.140625" style="77" customWidth="1"/>
    <col min="2083" max="2087" width="10.28515625" style="77" customWidth="1"/>
    <col min="2088" max="2089" width="12.7109375" style="77" customWidth="1"/>
    <col min="2090" max="2245" width="9.140625" style="77" customWidth="1"/>
    <col min="2246" max="2304" width="9.140625" style="77"/>
    <col min="2305" max="2305" width="13.7109375" style="77" customWidth="1"/>
    <col min="2306" max="2306" width="9.85546875" style="77" customWidth="1"/>
    <col min="2307" max="2307" width="12.28515625" style="77" customWidth="1"/>
    <col min="2308" max="2308" width="10.5703125" style="77" customWidth="1"/>
    <col min="2309" max="2309" width="9.7109375" style="77" customWidth="1"/>
    <col min="2310" max="2310" width="9.42578125" style="77" customWidth="1"/>
    <col min="2311" max="2311" width="9.140625" style="77"/>
    <col min="2312" max="2312" width="8.5703125" style="77" customWidth="1"/>
    <col min="2313" max="2313" width="10.7109375" style="77" customWidth="1"/>
    <col min="2314" max="2330" width="0" style="77" hidden="1" customWidth="1"/>
    <col min="2331" max="2332" width="9.140625" style="77" customWidth="1"/>
    <col min="2333" max="2333" width="12.85546875" style="77" customWidth="1"/>
    <col min="2334" max="2335" width="10.140625" style="77" customWidth="1"/>
    <col min="2336" max="2338" width="9.140625" style="77" customWidth="1"/>
    <col min="2339" max="2343" width="10.28515625" style="77" customWidth="1"/>
    <col min="2344" max="2345" width="12.7109375" style="77" customWidth="1"/>
    <col min="2346" max="2501" width="9.140625" style="77" customWidth="1"/>
    <col min="2502" max="2560" width="9.140625" style="77"/>
    <col min="2561" max="2561" width="13.7109375" style="77" customWidth="1"/>
    <col min="2562" max="2562" width="9.85546875" style="77" customWidth="1"/>
    <col min="2563" max="2563" width="12.28515625" style="77" customWidth="1"/>
    <col min="2564" max="2564" width="10.5703125" style="77" customWidth="1"/>
    <col min="2565" max="2565" width="9.7109375" style="77" customWidth="1"/>
    <col min="2566" max="2566" width="9.42578125" style="77" customWidth="1"/>
    <col min="2567" max="2567" width="9.140625" style="77"/>
    <col min="2568" max="2568" width="8.5703125" style="77" customWidth="1"/>
    <col min="2569" max="2569" width="10.7109375" style="77" customWidth="1"/>
    <col min="2570" max="2586" width="0" style="77" hidden="1" customWidth="1"/>
    <col min="2587" max="2588" width="9.140625" style="77" customWidth="1"/>
    <col min="2589" max="2589" width="12.85546875" style="77" customWidth="1"/>
    <col min="2590" max="2591" width="10.140625" style="77" customWidth="1"/>
    <col min="2592" max="2594" width="9.140625" style="77" customWidth="1"/>
    <col min="2595" max="2599" width="10.28515625" style="77" customWidth="1"/>
    <col min="2600" max="2601" width="12.7109375" style="77" customWidth="1"/>
    <col min="2602" max="2757" width="9.140625" style="77" customWidth="1"/>
    <col min="2758" max="2816" width="9.140625" style="77"/>
    <col min="2817" max="2817" width="13.7109375" style="77" customWidth="1"/>
    <col min="2818" max="2818" width="9.85546875" style="77" customWidth="1"/>
    <col min="2819" max="2819" width="12.28515625" style="77" customWidth="1"/>
    <col min="2820" max="2820" width="10.5703125" style="77" customWidth="1"/>
    <col min="2821" max="2821" width="9.7109375" style="77" customWidth="1"/>
    <col min="2822" max="2822" width="9.42578125" style="77" customWidth="1"/>
    <col min="2823" max="2823" width="9.140625" style="77"/>
    <col min="2824" max="2824" width="8.5703125" style="77" customWidth="1"/>
    <col min="2825" max="2825" width="10.7109375" style="77" customWidth="1"/>
    <col min="2826" max="2842" width="0" style="77" hidden="1" customWidth="1"/>
    <col min="2843" max="2844" width="9.140625" style="77" customWidth="1"/>
    <col min="2845" max="2845" width="12.85546875" style="77" customWidth="1"/>
    <col min="2846" max="2847" width="10.140625" style="77" customWidth="1"/>
    <col min="2848" max="2850" width="9.140625" style="77" customWidth="1"/>
    <col min="2851" max="2855" width="10.28515625" style="77" customWidth="1"/>
    <col min="2856" max="2857" width="12.7109375" style="77" customWidth="1"/>
    <col min="2858" max="3013" width="9.140625" style="77" customWidth="1"/>
    <col min="3014" max="3072" width="9.140625" style="77"/>
    <col min="3073" max="3073" width="13.7109375" style="77" customWidth="1"/>
    <col min="3074" max="3074" width="9.85546875" style="77" customWidth="1"/>
    <col min="3075" max="3075" width="12.28515625" style="77" customWidth="1"/>
    <col min="3076" max="3076" width="10.5703125" style="77" customWidth="1"/>
    <col min="3077" max="3077" width="9.7109375" style="77" customWidth="1"/>
    <col min="3078" max="3078" width="9.42578125" style="77" customWidth="1"/>
    <col min="3079" max="3079" width="9.140625" style="77"/>
    <col min="3080" max="3080" width="8.5703125" style="77" customWidth="1"/>
    <col min="3081" max="3081" width="10.7109375" style="77" customWidth="1"/>
    <col min="3082" max="3098" width="0" style="77" hidden="1" customWidth="1"/>
    <col min="3099" max="3100" width="9.140625" style="77" customWidth="1"/>
    <col min="3101" max="3101" width="12.85546875" style="77" customWidth="1"/>
    <col min="3102" max="3103" width="10.140625" style="77" customWidth="1"/>
    <col min="3104" max="3106" width="9.140625" style="77" customWidth="1"/>
    <col min="3107" max="3111" width="10.28515625" style="77" customWidth="1"/>
    <col min="3112" max="3113" width="12.7109375" style="77" customWidth="1"/>
    <col min="3114" max="3269" width="9.140625" style="77" customWidth="1"/>
    <col min="3270" max="3328" width="9.140625" style="77"/>
    <col min="3329" max="3329" width="13.7109375" style="77" customWidth="1"/>
    <col min="3330" max="3330" width="9.85546875" style="77" customWidth="1"/>
    <col min="3331" max="3331" width="12.28515625" style="77" customWidth="1"/>
    <col min="3332" max="3332" width="10.5703125" style="77" customWidth="1"/>
    <col min="3333" max="3333" width="9.7109375" style="77" customWidth="1"/>
    <col min="3334" max="3334" width="9.42578125" style="77" customWidth="1"/>
    <col min="3335" max="3335" width="9.140625" style="77"/>
    <col min="3336" max="3336" width="8.5703125" style="77" customWidth="1"/>
    <col min="3337" max="3337" width="10.7109375" style="77" customWidth="1"/>
    <col min="3338" max="3354" width="0" style="77" hidden="1" customWidth="1"/>
    <col min="3355" max="3356" width="9.140625" style="77" customWidth="1"/>
    <col min="3357" max="3357" width="12.85546875" style="77" customWidth="1"/>
    <col min="3358" max="3359" width="10.140625" style="77" customWidth="1"/>
    <col min="3360" max="3362" width="9.140625" style="77" customWidth="1"/>
    <col min="3363" max="3367" width="10.28515625" style="77" customWidth="1"/>
    <col min="3368" max="3369" width="12.7109375" style="77" customWidth="1"/>
    <col min="3370" max="3525" width="9.140625" style="77" customWidth="1"/>
    <col min="3526" max="3584" width="9.140625" style="77"/>
    <col min="3585" max="3585" width="13.7109375" style="77" customWidth="1"/>
    <col min="3586" max="3586" width="9.85546875" style="77" customWidth="1"/>
    <col min="3587" max="3587" width="12.28515625" style="77" customWidth="1"/>
    <col min="3588" max="3588" width="10.5703125" style="77" customWidth="1"/>
    <col min="3589" max="3589" width="9.7109375" style="77" customWidth="1"/>
    <col min="3590" max="3590" width="9.42578125" style="77" customWidth="1"/>
    <col min="3591" max="3591" width="9.140625" style="77"/>
    <col min="3592" max="3592" width="8.5703125" style="77" customWidth="1"/>
    <col min="3593" max="3593" width="10.7109375" style="77" customWidth="1"/>
    <col min="3594" max="3610" width="0" style="77" hidden="1" customWidth="1"/>
    <col min="3611" max="3612" width="9.140625" style="77" customWidth="1"/>
    <col min="3613" max="3613" width="12.85546875" style="77" customWidth="1"/>
    <col min="3614" max="3615" width="10.140625" style="77" customWidth="1"/>
    <col min="3616" max="3618" width="9.140625" style="77" customWidth="1"/>
    <col min="3619" max="3623" width="10.28515625" style="77" customWidth="1"/>
    <col min="3624" max="3625" width="12.7109375" style="77" customWidth="1"/>
    <col min="3626" max="3781" width="9.140625" style="77" customWidth="1"/>
    <col min="3782" max="3840" width="9.140625" style="77"/>
    <col min="3841" max="3841" width="13.7109375" style="77" customWidth="1"/>
    <col min="3842" max="3842" width="9.85546875" style="77" customWidth="1"/>
    <col min="3843" max="3843" width="12.28515625" style="77" customWidth="1"/>
    <col min="3844" max="3844" width="10.5703125" style="77" customWidth="1"/>
    <col min="3845" max="3845" width="9.7109375" style="77" customWidth="1"/>
    <col min="3846" max="3846" width="9.42578125" style="77" customWidth="1"/>
    <col min="3847" max="3847" width="9.140625" style="77"/>
    <col min="3848" max="3848" width="8.5703125" style="77" customWidth="1"/>
    <col min="3849" max="3849" width="10.7109375" style="77" customWidth="1"/>
    <col min="3850" max="3866" width="0" style="77" hidden="1" customWidth="1"/>
    <col min="3867" max="3868" width="9.140625" style="77" customWidth="1"/>
    <col min="3869" max="3869" width="12.85546875" style="77" customWidth="1"/>
    <col min="3870" max="3871" width="10.140625" style="77" customWidth="1"/>
    <col min="3872" max="3874" width="9.140625" style="77" customWidth="1"/>
    <col min="3875" max="3879" width="10.28515625" style="77" customWidth="1"/>
    <col min="3880" max="3881" width="12.7109375" style="77" customWidth="1"/>
    <col min="3882" max="4037" width="9.140625" style="77" customWidth="1"/>
    <col min="4038" max="4096" width="9.140625" style="77"/>
    <col min="4097" max="4097" width="13.7109375" style="77" customWidth="1"/>
    <col min="4098" max="4098" width="9.85546875" style="77" customWidth="1"/>
    <col min="4099" max="4099" width="12.28515625" style="77" customWidth="1"/>
    <col min="4100" max="4100" width="10.5703125" style="77" customWidth="1"/>
    <col min="4101" max="4101" width="9.7109375" style="77" customWidth="1"/>
    <col min="4102" max="4102" width="9.42578125" style="77" customWidth="1"/>
    <col min="4103" max="4103" width="9.140625" style="77"/>
    <col min="4104" max="4104" width="8.5703125" style="77" customWidth="1"/>
    <col min="4105" max="4105" width="10.7109375" style="77" customWidth="1"/>
    <col min="4106" max="4122" width="0" style="77" hidden="1" customWidth="1"/>
    <col min="4123" max="4124" width="9.140625" style="77" customWidth="1"/>
    <col min="4125" max="4125" width="12.85546875" style="77" customWidth="1"/>
    <col min="4126" max="4127" width="10.140625" style="77" customWidth="1"/>
    <col min="4128" max="4130" width="9.140625" style="77" customWidth="1"/>
    <col min="4131" max="4135" width="10.28515625" style="77" customWidth="1"/>
    <col min="4136" max="4137" width="12.7109375" style="77" customWidth="1"/>
    <col min="4138" max="4293" width="9.140625" style="77" customWidth="1"/>
    <col min="4294" max="4352" width="9.140625" style="77"/>
    <col min="4353" max="4353" width="13.7109375" style="77" customWidth="1"/>
    <col min="4354" max="4354" width="9.85546875" style="77" customWidth="1"/>
    <col min="4355" max="4355" width="12.28515625" style="77" customWidth="1"/>
    <col min="4356" max="4356" width="10.5703125" style="77" customWidth="1"/>
    <col min="4357" max="4357" width="9.7109375" style="77" customWidth="1"/>
    <col min="4358" max="4358" width="9.42578125" style="77" customWidth="1"/>
    <col min="4359" max="4359" width="9.140625" style="77"/>
    <col min="4360" max="4360" width="8.5703125" style="77" customWidth="1"/>
    <col min="4361" max="4361" width="10.7109375" style="77" customWidth="1"/>
    <col min="4362" max="4378" width="0" style="77" hidden="1" customWidth="1"/>
    <col min="4379" max="4380" width="9.140625" style="77" customWidth="1"/>
    <col min="4381" max="4381" width="12.85546875" style="77" customWidth="1"/>
    <col min="4382" max="4383" width="10.140625" style="77" customWidth="1"/>
    <col min="4384" max="4386" width="9.140625" style="77" customWidth="1"/>
    <col min="4387" max="4391" width="10.28515625" style="77" customWidth="1"/>
    <col min="4392" max="4393" width="12.7109375" style="77" customWidth="1"/>
    <col min="4394" max="4549" width="9.140625" style="77" customWidth="1"/>
    <col min="4550" max="4608" width="9.140625" style="77"/>
    <col min="4609" max="4609" width="13.7109375" style="77" customWidth="1"/>
    <col min="4610" max="4610" width="9.85546875" style="77" customWidth="1"/>
    <col min="4611" max="4611" width="12.28515625" style="77" customWidth="1"/>
    <col min="4612" max="4612" width="10.5703125" style="77" customWidth="1"/>
    <col min="4613" max="4613" width="9.7109375" style="77" customWidth="1"/>
    <col min="4614" max="4614" width="9.42578125" style="77" customWidth="1"/>
    <col min="4615" max="4615" width="9.140625" style="77"/>
    <col min="4616" max="4616" width="8.5703125" style="77" customWidth="1"/>
    <col min="4617" max="4617" width="10.7109375" style="77" customWidth="1"/>
    <col min="4618" max="4634" width="0" style="77" hidden="1" customWidth="1"/>
    <col min="4635" max="4636" width="9.140625" style="77" customWidth="1"/>
    <col min="4637" max="4637" width="12.85546875" style="77" customWidth="1"/>
    <col min="4638" max="4639" width="10.140625" style="77" customWidth="1"/>
    <col min="4640" max="4642" width="9.140625" style="77" customWidth="1"/>
    <col min="4643" max="4647" width="10.28515625" style="77" customWidth="1"/>
    <col min="4648" max="4649" width="12.7109375" style="77" customWidth="1"/>
    <col min="4650" max="4805" width="9.140625" style="77" customWidth="1"/>
    <col min="4806" max="4864" width="9.140625" style="77"/>
    <col min="4865" max="4865" width="13.7109375" style="77" customWidth="1"/>
    <col min="4866" max="4866" width="9.85546875" style="77" customWidth="1"/>
    <col min="4867" max="4867" width="12.28515625" style="77" customWidth="1"/>
    <col min="4868" max="4868" width="10.5703125" style="77" customWidth="1"/>
    <col min="4869" max="4869" width="9.7109375" style="77" customWidth="1"/>
    <col min="4870" max="4870" width="9.42578125" style="77" customWidth="1"/>
    <col min="4871" max="4871" width="9.140625" style="77"/>
    <col min="4872" max="4872" width="8.5703125" style="77" customWidth="1"/>
    <col min="4873" max="4873" width="10.7109375" style="77" customWidth="1"/>
    <col min="4874" max="4890" width="0" style="77" hidden="1" customWidth="1"/>
    <col min="4891" max="4892" width="9.140625" style="77" customWidth="1"/>
    <col min="4893" max="4893" width="12.85546875" style="77" customWidth="1"/>
    <col min="4894" max="4895" width="10.140625" style="77" customWidth="1"/>
    <col min="4896" max="4898" width="9.140625" style="77" customWidth="1"/>
    <col min="4899" max="4903" width="10.28515625" style="77" customWidth="1"/>
    <col min="4904" max="4905" width="12.7109375" style="77" customWidth="1"/>
    <col min="4906" max="5061" width="9.140625" style="77" customWidth="1"/>
    <col min="5062" max="5120" width="9.140625" style="77"/>
    <col min="5121" max="5121" width="13.7109375" style="77" customWidth="1"/>
    <col min="5122" max="5122" width="9.85546875" style="77" customWidth="1"/>
    <col min="5123" max="5123" width="12.28515625" style="77" customWidth="1"/>
    <col min="5124" max="5124" width="10.5703125" style="77" customWidth="1"/>
    <col min="5125" max="5125" width="9.7109375" style="77" customWidth="1"/>
    <col min="5126" max="5126" width="9.42578125" style="77" customWidth="1"/>
    <col min="5127" max="5127" width="9.140625" style="77"/>
    <col min="5128" max="5128" width="8.5703125" style="77" customWidth="1"/>
    <col min="5129" max="5129" width="10.7109375" style="77" customWidth="1"/>
    <col min="5130" max="5146" width="0" style="77" hidden="1" customWidth="1"/>
    <col min="5147" max="5148" width="9.140625" style="77" customWidth="1"/>
    <col min="5149" max="5149" width="12.85546875" style="77" customWidth="1"/>
    <col min="5150" max="5151" width="10.140625" style="77" customWidth="1"/>
    <col min="5152" max="5154" width="9.140625" style="77" customWidth="1"/>
    <col min="5155" max="5159" width="10.28515625" style="77" customWidth="1"/>
    <col min="5160" max="5161" width="12.7109375" style="77" customWidth="1"/>
    <col min="5162" max="5317" width="9.140625" style="77" customWidth="1"/>
    <col min="5318" max="5376" width="9.140625" style="77"/>
    <col min="5377" max="5377" width="13.7109375" style="77" customWidth="1"/>
    <col min="5378" max="5378" width="9.85546875" style="77" customWidth="1"/>
    <col min="5379" max="5379" width="12.28515625" style="77" customWidth="1"/>
    <col min="5380" max="5380" width="10.5703125" style="77" customWidth="1"/>
    <col min="5381" max="5381" width="9.7109375" style="77" customWidth="1"/>
    <col min="5382" max="5382" width="9.42578125" style="77" customWidth="1"/>
    <col min="5383" max="5383" width="9.140625" style="77"/>
    <col min="5384" max="5384" width="8.5703125" style="77" customWidth="1"/>
    <col min="5385" max="5385" width="10.7109375" style="77" customWidth="1"/>
    <col min="5386" max="5402" width="0" style="77" hidden="1" customWidth="1"/>
    <col min="5403" max="5404" width="9.140625" style="77" customWidth="1"/>
    <col min="5405" max="5405" width="12.85546875" style="77" customWidth="1"/>
    <col min="5406" max="5407" width="10.140625" style="77" customWidth="1"/>
    <col min="5408" max="5410" width="9.140625" style="77" customWidth="1"/>
    <col min="5411" max="5415" width="10.28515625" style="77" customWidth="1"/>
    <col min="5416" max="5417" width="12.7109375" style="77" customWidth="1"/>
    <col min="5418" max="5573" width="9.140625" style="77" customWidth="1"/>
    <col min="5574" max="5632" width="9.140625" style="77"/>
    <col min="5633" max="5633" width="13.7109375" style="77" customWidth="1"/>
    <col min="5634" max="5634" width="9.85546875" style="77" customWidth="1"/>
    <col min="5635" max="5635" width="12.28515625" style="77" customWidth="1"/>
    <col min="5636" max="5636" width="10.5703125" style="77" customWidth="1"/>
    <col min="5637" max="5637" width="9.7109375" style="77" customWidth="1"/>
    <col min="5638" max="5638" width="9.42578125" style="77" customWidth="1"/>
    <col min="5639" max="5639" width="9.140625" style="77"/>
    <col min="5640" max="5640" width="8.5703125" style="77" customWidth="1"/>
    <col min="5641" max="5641" width="10.7109375" style="77" customWidth="1"/>
    <col min="5642" max="5658" width="0" style="77" hidden="1" customWidth="1"/>
    <col min="5659" max="5660" width="9.140625" style="77" customWidth="1"/>
    <col min="5661" max="5661" width="12.85546875" style="77" customWidth="1"/>
    <col min="5662" max="5663" width="10.140625" style="77" customWidth="1"/>
    <col min="5664" max="5666" width="9.140625" style="77" customWidth="1"/>
    <col min="5667" max="5671" width="10.28515625" style="77" customWidth="1"/>
    <col min="5672" max="5673" width="12.7109375" style="77" customWidth="1"/>
    <col min="5674" max="5829" width="9.140625" style="77" customWidth="1"/>
    <col min="5830" max="5888" width="9.140625" style="77"/>
    <col min="5889" max="5889" width="13.7109375" style="77" customWidth="1"/>
    <col min="5890" max="5890" width="9.85546875" style="77" customWidth="1"/>
    <col min="5891" max="5891" width="12.28515625" style="77" customWidth="1"/>
    <col min="5892" max="5892" width="10.5703125" style="77" customWidth="1"/>
    <col min="5893" max="5893" width="9.7109375" style="77" customWidth="1"/>
    <col min="5894" max="5894" width="9.42578125" style="77" customWidth="1"/>
    <col min="5895" max="5895" width="9.140625" style="77"/>
    <col min="5896" max="5896" width="8.5703125" style="77" customWidth="1"/>
    <col min="5897" max="5897" width="10.7109375" style="77" customWidth="1"/>
    <col min="5898" max="5914" width="0" style="77" hidden="1" customWidth="1"/>
    <col min="5915" max="5916" width="9.140625" style="77" customWidth="1"/>
    <col min="5917" max="5917" width="12.85546875" style="77" customWidth="1"/>
    <col min="5918" max="5919" width="10.140625" style="77" customWidth="1"/>
    <col min="5920" max="5922" width="9.140625" style="77" customWidth="1"/>
    <col min="5923" max="5927" width="10.28515625" style="77" customWidth="1"/>
    <col min="5928" max="5929" width="12.7109375" style="77" customWidth="1"/>
    <col min="5930" max="6085" width="9.140625" style="77" customWidth="1"/>
    <col min="6086" max="6144" width="9.140625" style="77"/>
    <col min="6145" max="6145" width="13.7109375" style="77" customWidth="1"/>
    <col min="6146" max="6146" width="9.85546875" style="77" customWidth="1"/>
    <col min="6147" max="6147" width="12.28515625" style="77" customWidth="1"/>
    <col min="6148" max="6148" width="10.5703125" style="77" customWidth="1"/>
    <col min="6149" max="6149" width="9.7109375" style="77" customWidth="1"/>
    <col min="6150" max="6150" width="9.42578125" style="77" customWidth="1"/>
    <col min="6151" max="6151" width="9.140625" style="77"/>
    <col min="6152" max="6152" width="8.5703125" style="77" customWidth="1"/>
    <col min="6153" max="6153" width="10.7109375" style="77" customWidth="1"/>
    <col min="6154" max="6170" width="0" style="77" hidden="1" customWidth="1"/>
    <col min="6171" max="6172" width="9.140625" style="77" customWidth="1"/>
    <col min="6173" max="6173" width="12.85546875" style="77" customWidth="1"/>
    <col min="6174" max="6175" width="10.140625" style="77" customWidth="1"/>
    <col min="6176" max="6178" width="9.140625" style="77" customWidth="1"/>
    <col min="6179" max="6183" width="10.28515625" style="77" customWidth="1"/>
    <col min="6184" max="6185" width="12.7109375" style="77" customWidth="1"/>
    <col min="6186" max="6341" width="9.140625" style="77" customWidth="1"/>
    <col min="6342" max="6400" width="9.140625" style="77"/>
    <col min="6401" max="6401" width="13.7109375" style="77" customWidth="1"/>
    <col min="6402" max="6402" width="9.85546875" style="77" customWidth="1"/>
    <col min="6403" max="6403" width="12.28515625" style="77" customWidth="1"/>
    <col min="6404" max="6404" width="10.5703125" style="77" customWidth="1"/>
    <col min="6405" max="6405" width="9.7109375" style="77" customWidth="1"/>
    <col min="6406" max="6406" width="9.42578125" style="77" customWidth="1"/>
    <col min="6407" max="6407" width="9.140625" style="77"/>
    <col min="6408" max="6408" width="8.5703125" style="77" customWidth="1"/>
    <col min="6409" max="6409" width="10.7109375" style="77" customWidth="1"/>
    <col min="6410" max="6426" width="0" style="77" hidden="1" customWidth="1"/>
    <col min="6427" max="6428" width="9.140625" style="77" customWidth="1"/>
    <col min="6429" max="6429" width="12.85546875" style="77" customWidth="1"/>
    <col min="6430" max="6431" width="10.140625" style="77" customWidth="1"/>
    <col min="6432" max="6434" width="9.140625" style="77" customWidth="1"/>
    <col min="6435" max="6439" width="10.28515625" style="77" customWidth="1"/>
    <col min="6440" max="6441" width="12.7109375" style="77" customWidth="1"/>
    <col min="6442" max="6597" width="9.140625" style="77" customWidth="1"/>
    <col min="6598" max="6656" width="9.140625" style="77"/>
    <col min="6657" max="6657" width="13.7109375" style="77" customWidth="1"/>
    <col min="6658" max="6658" width="9.85546875" style="77" customWidth="1"/>
    <col min="6659" max="6659" width="12.28515625" style="77" customWidth="1"/>
    <col min="6660" max="6660" width="10.5703125" style="77" customWidth="1"/>
    <col min="6661" max="6661" width="9.7109375" style="77" customWidth="1"/>
    <col min="6662" max="6662" width="9.42578125" style="77" customWidth="1"/>
    <col min="6663" max="6663" width="9.140625" style="77"/>
    <col min="6664" max="6664" width="8.5703125" style="77" customWidth="1"/>
    <col min="6665" max="6665" width="10.7109375" style="77" customWidth="1"/>
    <col min="6666" max="6682" width="0" style="77" hidden="1" customWidth="1"/>
    <col min="6683" max="6684" width="9.140625" style="77" customWidth="1"/>
    <col min="6685" max="6685" width="12.85546875" style="77" customWidth="1"/>
    <col min="6686" max="6687" width="10.140625" style="77" customWidth="1"/>
    <col min="6688" max="6690" width="9.140625" style="77" customWidth="1"/>
    <col min="6691" max="6695" width="10.28515625" style="77" customWidth="1"/>
    <col min="6696" max="6697" width="12.7109375" style="77" customWidth="1"/>
    <col min="6698" max="6853" width="9.140625" style="77" customWidth="1"/>
    <col min="6854" max="6912" width="9.140625" style="77"/>
    <col min="6913" max="6913" width="13.7109375" style="77" customWidth="1"/>
    <col min="6914" max="6914" width="9.85546875" style="77" customWidth="1"/>
    <col min="6915" max="6915" width="12.28515625" style="77" customWidth="1"/>
    <col min="6916" max="6916" width="10.5703125" style="77" customWidth="1"/>
    <col min="6917" max="6917" width="9.7109375" style="77" customWidth="1"/>
    <col min="6918" max="6918" width="9.42578125" style="77" customWidth="1"/>
    <col min="6919" max="6919" width="9.140625" style="77"/>
    <col min="6920" max="6920" width="8.5703125" style="77" customWidth="1"/>
    <col min="6921" max="6921" width="10.7109375" style="77" customWidth="1"/>
    <col min="6922" max="6938" width="0" style="77" hidden="1" customWidth="1"/>
    <col min="6939" max="6940" width="9.140625" style="77" customWidth="1"/>
    <col min="6941" max="6941" width="12.85546875" style="77" customWidth="1"/>
    <col min="6942" max="6943" width="10.140625" style="77" customWidth="1"/>
    <col min="6944" max="6946" width="9.140625" style="77" customWidth="1"/>
    <col min="6947" max="6951" width="10.28515625" style="77" customWidth="1"/>
    <col min="6952" max="6953" width="12.7109375" style="77" customWidth="1"/>
    <col min="6954" max="7109" width="9.140625" style="77" customWidth="1"/>
    <col min="7110" max="7168" width="9.140625" style="77"/>
    <col min="7169" max="7169" width="13.7109375" style="77" customWidth="1"/>
    <col min="7170" max="7170" width="9.85546875" style="77" customWidth="1"/>
    <col min="7171" max="7171" width="12.28515625" style="77" customWidth="1"/>
    <col min="7172" max="7172" width="10.5703125" style="77" customWidth="1"/>
    <col min="7173" max="7173" width="9.7109375" style="77" customWidth="1"/>
    <col min="7174" max="7174" width="9.42578125" style="77" customWidth="1"/>
    <col min="7175" max="7175" width="9.140625" style="77"/>
    <col min="7176" max="7176" width="8.5703125" style="77" customWidth="1"/>
    <col min="7177" max="7177" width="10.7109375" style="77" customWidth="1"/>
    <col min="7178" max="7194" width="0" style="77" hidden="1" customWidth="1"/>
    <col min="7195" max="7196" width="9.140625" style="77" customWidth="1"/>
    <col min="7197" max="7197" width="12.85546875" style="77" customWidth="1"/>
    <col min="7198" max="7199" width="10.140625" style="77" customWidth="1"/>
    <col min="7200" max="7202" width="9.140625" style="77" customWidth="1"/>
    <col min="7203" max="7207" width="10.28515625" style="77" customWidth="1"/>
    <col min="7208" max="7209" width="12.7109375" style="77" customWidth="1"/>
    <col min="7210" max="7365" width="9.140625" style="77" customWidth="1"/>
    <col min="7366" max="7424" width="9.140625" style="77"/>
    <col min="7425" max="7425" width="13.7109375" style="77" customWidth="1"/>
    <col min="7426" max="7426" width="9.85546875" style="77" customWidth="1"/>
    <col min="7427" max="7427" width="12.28515625" style="77" customWidth="1"/>
    <col min="7428" max="7428" width="10.5703125" style="77" customWidth="1"/>
    <col min="7429" max="7429" width="9.7109375" style="77" customWidth="1"/>
    <col min="7430" max="7430" width="9.42578125" style="77" customWidth="1"/>
    <col min="7431" max="7431" width="9.140625" style="77"/>
    <col min="7432" max="7432" width="8.5703125" style="77" customWidth="1"/>
    <col min="7433" max="7433" width="10.7109375" style="77" customWidth="1"/>
    <col min="7434" max="7450" width="0" style="77" hidden="1" customWidth="1"/>
    <col min="7451" max="7452" width="9.140625" style="77" customWidth="1"/>
    <col min="7453" max="7453" width="12.85546875" style="77" customWidth="1"/>
    <col min="7454" max="7455" width="10.140625" style="77" customWidth="1"/>
    <col min="7456" max="7458" width="9.140625" style="77" customWidth="1"/>
    <col min="7459" max="7463" width="10.28515625" style="77" customWidth="1"/>
    <col min="7464" max="7465" width="12.7109375" style="77" customWidth="1"/>
    <col min="7466" max="7621" width="9.140625" style="77" customWidth="1"/>
    <col min="7622" max="7680" width="9.140625" style="77"/>
    <col min="7681" max="7681" width="13.7109375" style="77" customWidth="1"/>
    <col min="7682" max="7682" width="9.85546875" style="77" customWidth="1"/>
    <col min="7683" max="7683" width="12.28515625" style="77" customWidth="1"/>
    <col min="7684" max="7684" width="10.5703125" style="77" customWidth="1"/>
    <col min="7685" max="7685" width="9.7109375" style="77" customWidth="1"/>
    <col min="7686" max="7686" width="9.42578125" style="77" customWidth="1"/>
    <col min="7687" max="7687" width="9.140625" style="77"/>
    <col min="7688" max="7688" width="8.5703125" style="77" customWidth="1"/>
    <col min="7689" max="7689" width="10.7109375" style="77" customWidth="1"/>
    <col min="7690" max="7706" width="0" style="77" hidden="1" customWidth="1"/>
    <col min="7707" max="7708" width="9.140625" style="77" customWidth="1"/>
    <col min="7709" max="7709" width="12.85546875" style="77" customWidth="1"/>
    <col min="7710" max="7711" width="10.140625" style="77" customWidth="1"/>
    <col min="7712" max="7714" width="9.140625" style="77" customWidth="1"/>
    <col min="7715" max="7719" width="10.28515625" style="77" customWidth="1"/>
    <col min="7720" max="7721" width="12.7109375" style="77" customWidth="1"/>
    <col min="7722" max="7877" width="9.140625" style="77" customWidth="1"/>
    <col min="7878" max="7936" width="9.140625" style="77"/>
    <col min="7937" max="7937" width="13.7109375" style="77" customWidth="1"/>
    <col min="7938" max="7938" width="9.85546875" style="77" customWidth="1"/>
    <col min="7939" max="7939" width="12.28515625" style="77" customWidth="1"/>
    <col min="7940" max="7940" width="10.5703125" style="77" customWidth="1"/>
    <col min="7941" max="7941" width="9.7109375" style="77" customWidth="1"/>
    <col min="7942" max="7942" width="9.42578125" style="77" customWidth="1"/>
    <col min="7943" max="7943" width="9.140625" style="77"/>
    <col min="7944" max="7944" width="8.5703125" style="77" customWidth="1"/>
    <col min="7945" max="7945" width="10.7109375" style="77" customWidth="1"/>
    <col min="7946" max="7962" width="0" style="77" hidden="1" customWidth="1"/>
    <col min="7963" max="7964" width="9.140625" style="77" customWidth="1"/>
    <col min="7965" max="7965" width="12.85546875" style="77" customWidth="1"/>
    <col min="7966" max="7967" width="10.140625" style="77" customWidth="1"/>
    <col min="7968" max="7970" width="9.140625" style="77" customWidth="1"/>
    <col min="7971" max="7975" width="10.28515625" style="77" customWidth="1"/>
    <col min="7976" max="7977" width="12.7109375" style="77" customWidth="1"/>
    <col min="7978" max="8133" width="9.140625" style="77" customWidth="1"/>
    <col min="8134" max="8192" width="9.140625" style="77"/>
    <col min="8193" max="8193" width="13.7109375" style="77" customWidth="1"/>
    <col min="8194" max="8194" width="9.85546875" style="77" customWidth="1"/>
    <col min="8195" max="8195" width="12.28515625" style="77" customWidth="1"/>
    <col min="8196" max="8196" width="10.5703125" style="77" customWidth="1"/>
    <col min="8197" max="8197" width="9.7109375" style="77" customWidth="1"/>
    <col min="8198" max="8198" width="9.42578125" style="77" customWidth="1"/>
    <col min="8199" max="8199" width="9.140625" style="77"/>
    <col min="8200" max="8200" width="8.5703125" style="77" customWidth="1"/>
    <col min="8201" max="8201" width="10.7109375" style="77" customWidth="1"/>
    <col min="8202" max="8218" width="0" style="77" hidden="1" customWidth="1"/>
    <col min="8219" max="8220" width="9.140625" style="77" customWidth="1"/>
    <col min="8221" max="8221" width="12.85546875" style="77" customWidth="1"/>
    <col min="8222" max="8223" width="10.140625" style="77" customWidth="1"/>
    <col min="8224" max="8226" width="9.140625" style="77" customWidth="1"/>
    <col min="8227" max="8231" width="10.28515625" style="77" customWidth="1"/>
    <col min="8232" max="8233" width="12.7109375" style="77" customWidth="1"/>
    <col min="8234" max="8389" width="9.140625" style="77" customWidth="1"/>
    <col min="8390" max="8448" width="9.140625" style="77"/>
    <col min="8449" max="8449" width="13.7109375" style="77" customWidth="1"/>
    <col min="8450" max="8450" width="9.85546875" style="77" customWidth="1"/>
    <col min="8451" max="8451" width="12.28515625" style="77" customWidth="1"/>
    <col min="8452" max="8452" width="10.5703125" style="77" customWidth="1"/>
    <col min="8453" max="8453" width="9.7109375" style="77" customWidth="1"/>
    <col min="8454" max="8454" width="9.42578125" style="77" customWidth="1"/>
    <col min="8455" max="8455" width="9.140625" style="77"/>
    <col min="8456" max="8456" width="8.5703125" style="77" customWidth="1"/>
    <col min="8457" max="8457" width="10.7109375" style="77" customWidth="1"/>
    <col min="8458" max="8474" width="0" style="77" hidden="1" customWidth="1"/>
    <col min="8475" max="8476" width="9.140625" style="77" customWidth="1"/>
    <col min="8477" max="8477" width="12.85546875" style="77" customWidth="1"/>
    <col min="8478" max="8479" width="10.140625" style="77" customWidth="1"/>
    <col min="8480" max="8482" width="9.140625" style="77" customWidth="1"/>
    <col min="8483" max="8487" width="10.28515625" style="77" customWidth="1"/>
    <col min="8488" max="8489" width="12.7109375" style="77" customWidth="1"/>
    <col min="8490" max="8645" width="9.140625" style="77" customWidth="1"/>
    <col min="8646" max="8704" width="9.140625" style="77"/>
    <col min="8705" max="8705" width="13.7109375" style="77" customWidth="1"/>
    <col min="8706" max="8706" width="9.85546875" style="77" customWidth="1"/>
    <col min="8707" max="8707" width="12.28515625" style="77" customWidth="1"/>
    <col min="8708" max="8708" width="10.5703125" style="77" customWidth="1"/>
    <col min="8709" max="8709" width="9.7109375" style="77" customWidth="1"/>
    <col min="8710" max="8710" width="9.42578125" style="77" customWidth="1"/>
    <col min="8711" max="8711" width="9.140625" style="77"/>
    <col min="8712" max="8712" width="8.5703125" style="77" customWidth="1"/>
    <col min="8713" max="8713" width="10.7109375" style="77" customWidth="1"/>
    <col min="8714" max="8730" width="0" style="77" hidden="1" customWidth="1"/>
    <col min="8731" max="8732" width="9.140625" style="77" customWidth="1"/>
    <col min="8733" max="8733" width="12.85546875" style="77" customWidth="1"/>
    <col min="8734" max="8735" width="10.140625" style="77" customWidth="1"/>
    <col min="8736" max="8738" width="9.140625" style="77" customWidth="1"/>
    <col min="8739" max="8743" width="10.28515625" style="77" customWidth="1"/>
    <col min="8744" max="8745" width="12.7109375" style="77" customWidth="1"/>
    <col min="8746" max="8901" width="9.140625" style="77" customWidth="1"/>
    <col min="8902" max="8960" width="9.140625" style="77"/>
    <col min="8961" max="8961" width="13.7109375" style="77" customWidth="1"/>
    <col min="8962" max="8962" width="9.85546875" style="77" customWidth="1"/>
    <col min="8963" max="8963" width="12.28515625" style="77" customWidth="1"/>
    <col min="8964" max="8964" width="10.5703125" style="77" customWidth="1"/>
    <col min="8965" max="8965" width="9.7109375" style="77" customWidth="1"/>
    <col min="8966" max="8966" width="9.42578125" style="77" customWidth="1"/>
    <col min="8967" max="8967" width="9.140625" style="77"/>
    <col min="8968" max="8968" width="8.5703125" style="77" customWidth="1"/>
    <col min="8969" max="8969" width="10.7109375" style="77" customWidth="1"/>
    <col min="8970" max="8986" width="0" style="77" hidden="1" customWidth="1"/>
    <col min="8987" max="8988" width="9.140625" style="77" customWidth="1"/>
    <col min="8989" max="8989" width="12.85546875" style="77" customWidth="1"/>
    <col min="8990" max="8991" width="10.140625" style="77" customWidth="1"/>
    <col min="8992" max="8994" width="9.140625" style="77" customWidth="1"/>
    <col min="8995" max="8999" width="10.28515625" style="77" customWidth="1"/>
    <col min="9000" max="9001" width="12.7109375" style="77" customWidth="1"/>
    <col min="9002" max="9157" width="9.140625" style="77" customWidth="1"/>
    <col min="9158" max="9216" width="9.140625" style="77"/>
    <col min="9217" max="9217" width="13.7109375" style="77" customWidth="1"/>
    <col min="9218" max="9218" width="9.85546875" style="77" customWidth="1"/>
    <col min="9219" max="9219" width="12.28515625" style="77" customWidth="1"/>
    <col min="9220" max="9220" width="10.5703125" style="77" customWidth="1"/>
    <col min="9221" max="9221" width="9.7109375" style="77" customWidth="1"/>
    <col min="9222" max="9222" width="9.42578125" style="77" customWidth="1"/>
    <col min="9223" max="9223" width="9.140625" style="77"/>
    <col min="9224" max="9224" width="8.5703125" style="77" customWidth="1"/>
    <col min="9225" max="9225" width="10.7109375" style="77" customWidth="1"/>
    <col min="9226" max="9242" width="0" style="77" hidden="1" customWidth="1"/>
    <col min="9243" max="9244" width="9.140625" style="77" customWidth="1"/>
    <col min="9245" max="9245" width="12.85546875" style="77" customWidth="1"/>
    <col min="9246" max="9247" width="10.140625" style="77" customWidth="1"/>
    <col min="9248" max="9250" width="9.140625" style="77" customWidth="1"/>
    <col min="9251" max="9255" width="10.28515625" style="77" customWidth="1"/>
    <col min="9256" max="9257" width="12.7109375" style="77" customWidth="1"/>
    <col min="9258" max="9413" width="9.140625" style="77" customWidth="1"/>
    <col min="9414" max="9472" width="9.140625" style="77"/>
    <col min="9473" max="9473" width="13.7109375" style="77" customWidth="1"/>
    <col min="9474" max="9474" width="9.85546875" style="77" customWidth="1"/>
    <col min="9475" max="9475" width="12.28515625" style="77" customWidth="1"/>
    <col min="9476" max="9476" width="10.5703125" style="77" customWidth="1"/>
    <col min="9477" max="9477" width="9.7109375" style="77" customWidth="1"/>
    <col min="9478" max="9478" width="9.42578125" style="77" customWidth="1"/>
    <col min="9479" max="9479" width="9.140625" style="77"/>
    <col min="9480" max="9480" width="8.5703125" style="77" customWidth="1"/>
    <col min="9481" max="9481" width="10.7109375" style="77" customWidth="1"/>
    <col min="9482" max="9498" width="0" style="77" hidden="1" customWidth="1"/>
    <col min="9499" max="9500" width="9.140625" style="77" customWidth="1"/>
    <col min="9501" max="9501" width="12.85546875" style="77" customWidth="1"/>
    <col min="9502" max="9503" width="10.140625" style="77" customWidth="1"/>
    <col min="9504" max="9506" width="9.140625" style="77" customWidth="1"/>
    <col min="9507" max="9511" width="10.28515625" style="77" customWidth="1"/>
    <col min="9512" max="9513" width="12.7109375" style="77" customWidth="1"/>
    <col min="9514" max="9669" width="9.140625" style="77" customWidth="1"/>
    <col min="9670" max="9728" width="9.140625" style="77"/>
    <col min="9729" max="9729" width="13.7109375" style="77" customWidth="1"/>
    <col min="9730" max="9730" width="9.85546875" style="77" customWidth="1"/>
    <col min="9731" max="9731" width="12.28515625" style="77" customWidth="1"/>
    <col min="9732" max="9732" width="10.5703125" style="77" customWidth="1"/>
    <col min="9733" max="9733" width="9.7109375" style="77" customWidth="1"/>
    <col min="9734" max="9734" width="9.42578125" style="77" customWidth="1"/>
    <col min="9735" max="9735" width="9.140625" style="77"/>
    <col min="9736" max="9736" width="8.5703125" style="77" customWidth="1"/>
    <col min="9737" max="9737" width="10.7109375" style="77" customWidth="1"/>
    <col min="9738" max="9754" width="0" style="77" hidden="1" customWidth="1"/>
    <col min="9755" max="9756" width="9.140625" style="77" customWidth="1"/>
    <col min="9757" max="9757" width="12.85546875" style="77" customWidth="1"/>
    <col min="9758" max="9759" width="10.140625" style="77" customWidth="1"/>
    <col min="9760" max="9762" width="9.140625" style="77" customWidth="1"/>
    <col min="9763" max="9767" width="10.28515625" style="77" customWidth="1"/>
    <col min="9768" max="9769" width="12.7109375" style="77" customWidth="1"/>
    <col min="9770" max="9925" width="9.140625" style="77" customWidth="1"/>
    <col min="9926" max="9984" width="9.140625" style="77"/>
    <col min="9985" max="9985" width="13.7109375" style="77" customWidth="1"/>
    <col min="9986" max="9986" width="9.85546875" style="77" customWidth="1"/>
    <col min="9987" max="9987" width="12.28515625" style="77" customWidth="1"/>
    <col min="9988" max="9988" width="10.5703125" style="77" customWidth="1"/>
    <col min="9989" max="9989" width="9.7109375" style="77" customWidth="1"/>
    <col min="9990" max="9990" width="9.42578125" style="77" customWidth="1"/>
    <col min="9991" max="9991" width="9.140625" style="77"/>
    <col min="9992" max="9992" width="8.5703125" style="77" customWidth="1"/>
    <col min="9993" max="9993" width="10.7109375" style="77" customWidth="1"/>
    <col min="9994" max="10010" width="0" style="77" hidden="1" customWidth="1"/>
    <col min="10011" max="10012" width="9.140625" style="77" customWidth="1"/>
    <col min="10013" max="10013" width="12.85546875" style="77" customWidth="1"/>
    <col min="10014" max="10015" width="10.140625" style="77" customWidth="1"/>
    <col min="10016" max="10018" width="9.140625" style="77" customWidth="1"/>
    <col min="10019" max="10023" width="10.28515625" style="77" customWidth="1"/>
    <col min="10024" max="10025" width="12.7109375" style="77" customWidth="1"/>
    <col min="10026" max="10181" width="9.140625" style="77" customWidth="1"/>
    <col min="10182" max="10240" width="9.140625" style="77"/>
    <col min="10241" max="10241" width="13.7109375" style="77" customWidth="1"/>
    <col min="10242" max="10242" width="9.85546875" style="77" customWidth="1"/>
    <col min="10243" max="10243" width="12.28515625" style="77" customWidth="1"/>
    <col min="10244" max="10244" width="10.5703125" style="77" customWidth="1"/>
    <col min="10245" max="10245" width="9.7109375" style="77" customWidth="1"/>
    <col min="10246" max="10246" width="9.42578125" style="77" customWidth="1"/>
    <col min="10247" max="10247" width="9.140625" style="77"/>
    <col min="10248" max="10248" width="8.5703125" style="77" customWidth="1"/>
    <col min="10249" max="10249" width="10.7109375" style="77" customWidth="1"/>
    <col min="10250" max="10266" width="0" style="77" hidden="1" customWidth="1"/>
    <col min="10267" max="10268" width="9.140625" style="77" customWidth="1"/>
    <col min="10269" max="10269" width="12.85546875" style="77" customWidth="1"/>
    <col min="10270" max="10271" width="10.140625" style="77" customWidth="1"/>
    <col min="10272" max="10274" width="9.140625" style="77" customWidth="1"/>
    <col min="10275" max="10279" width="10.28515625" style="77" customWidth="1"/>
    <col min="10280" max="10281" width="12.7109375" style="77" customWidth="1"/>
    <col min="10282" max="10437" width="9.140625" style="77" customWidth="1"/>
    <col min="10438" max="10496" width="9.140625" style="77"/>
    <col min="10497" max="10497" width="13.7109375" style="77" customWidth="1"/>
    <col min="10498" max="10498" width="9.85546875" style="77" customWidth="1"/>
    <col min="10499" max="10499" width="12.28515625" style="77" customWidth="1"/>
    <col min="10500" max="10500" width="10.5703125" style="77" customWidth="1"/>
    <col min="10501" max="10501" width="9.7109375" style="77" customWidth="1"/>
    <col min="10502" max="10502" width="9.42578125" style="77" customWidth="1"/>
    <col min="10503" max="10503" width="9.140625" style="77"/>
    <col min="10504" max="10504" width="8.5703125" style="77" customWidth="1"/>
    <col min="10505" max="10505" width="10.7109375" style="77" customWidth="1"/>
    <col min="10506" max="10522" width="0" style="77" hidden="1" customWidth="1"/>
    <col min="10523" max="10524" width="9.140625" style="77" customWidth="1"/>
    <col min="10525" max="10525" width="12.85546875" style="77" customWidth="1"/>
    <col min="10526" max="10527" width="10.140625" style="77" customWidth="1"/>
    <col min="10528" max="10530" width="9.140625" style="77" customWidth="1"/>
    <col min="10531" max="10535" width="10.28515625" style="77" customWidth="1"/>
    <col min="10536" max="10537" width="12.7109375" style="77" customWidth="1"/>
    <col min="10538" max="10693" width="9.140625" style="77" customWidth="1"/>
    <col min="10694" max="10752" width="9.140625" style="77"/>
    <col min="10753" max="10753" width="13.7109375" style="77" customWidth="1"/>
    <col min="10754" max="10754" width="9.85546875" style="77" customWidth="1"/>
    <col min="10755" max="10755" width="12.28515625" style="77" customWidth="1"/>
    <col min="10756" max="10756" width="10.5703125" style="77" customWidth="1"/>
    <col min="10757" max="10757" width="9.7109375" style="77" customWidth="1"/>
    <col min="10758" max="10758" width="9.42578125" style="77" customWidth="1"/>
    <col min="10759" max="10759" width="9.140625" style="77"/>
    <col min="10760" max="10760" width="8.5703125" style="77" customWidth="1"/>
    <col min="10761" max="10761" width="10.7109375" style="77" customWidth="1"/>
    <col min="10762" max="10778" width="0" style="77" hidden="1" customWidth="1"/>
    <col min="10779" max="10780" width="9.140625" style="77" customWidth="1"/>
    <col min="10781" max="10781" width="12.85546875" style="77" customWidth="1"/>
    <col min="10782" max="10783" width="10.140625" style="77" customWidth="1"/>
    <col min="10784" max="10786" width="9.140625" style="77" customWidth="1"/>
    <col min="10787" max="10791" width="10.28515625" style="77" customWidth="1"/>
    <col min="10792" max="10793" width="12.7109375" style="77" customWidth="1"/>
    <col min="10794" max="10949" width="9.140625" style="77" customWidth="1"/>
    <col min="10950" max="11008" width="9.140625" style="77"/>
    <col min="11009" max="11009" width="13.7109375" style="77" customWidth="1"/>
    <col min="11010" max="11010" width="9.85546875" style="77" customWidth="1"/>
    <col min="11011" max="11011" width="12.28515625" style="77" customWidth="1"/>
    <col min="11012" max="11012" width="10.5703125" style="77" customWidth="1"/>
    <col min="11013" max="11013" width="9.7109375" style="77" customWidth="1"/>
    <col min="11014" max="11014" width="9.42578125" style="77" customWidth="1"/>
    <col min="11015" max="11015" width="9.140625" style="77"/>
    <col min="11016" max="11016" width="8.5703125" style="77" customWidth="1"/>
    <col min="11017" max="11017" width="10.7109375" style="77" customWidth="1"/>
    <col min="11018" max="11034" width="0" style="77" hidden="1" customWidth="1"/>
    <col min="11035" max="11036" width="9.140625" style="77" customWidth="1"/>
    <col min="11037" max="11037" width="12.85546875" style="77" customWidth="1"/>
    <col min="11038" max="11039" width="10.140625" style="77" customWidth="1"/>
    <col min="11040" max="11042" width="9.140625" style="77" customWidth="1"/>
    <col min="11043" max="11047" width="10.28515625" style="77" customWidth="1"/>
    <col min="11048" max="11049" width="12.7109375" style="77" customWidth="1"/>
    <col min="11050" max="11205" width="9.140625" style="77" customWidth="1"/>
    <col min="11206" max="11264" width="9.140625" style="77"/>
    <col min="11265" max="11265" width="13.7109375" style="77" customWidth="1"/>
    <col min="11266" max="11266" width="9.85546875" style="77" customWidth="1"/>
    <col min="11267" max="11267" width="12.28515625" style="77" customWidth="1"/>
    <col min="11268" max="11268" width="10.5703125" style="77" customWidth="1"/>
    <col min="11269" max="11269" width="9.7109375" style="77" customWidth="1"/>
    <col min="11270" max="11270" width="9.42578125" style="77" customWidth="1"/>
    <col min="11271" max="11271" width="9.140625" style="77"/>
    <col min="11272" max="11272" width="8.5703125" style="77" customWidth="1"/>
    <col min="11273" max="11273" width="10.7109375" style="77" customWidth="1"/>
    <col min="11274" max="11290" width="0" style="77" hidden="1" customWidth="1"/>
    <col min="11291" max="11292" width="9.140625" style="77" customWidth="1"/>
    <col min="11293" max="11293" width="12.85546875" style="77" customWidth="1"/>
    <col min="11294" max="11295" width="10.140625" style="77" customWidth="1"/>
    <col min="11296" max="11298" width="9.140625" style="77" customWidth="1"/>
    <col min="11299" max="11303" width="10.28515625" style="77" customWidth="1"/>
    <col min="11304" max="11305" width="12.7109375" style="77" customWidth="1"/>
    <col min="11306" max="11461" width="9.140625" style="77" customWidth="1"/>
    <col min="11462" max="11520" width="9.140625" style="77"/>
    <col min="11521" max="11521" width="13.7109375" style="77" customWidth="1"/>
    <col min="11522" max="11522" width="9.85546875" style="77" customWidth="1"/>
    <col min="11523" max="11523" width="12.28515625" style="77" customWidth="1"/>
    <col min="11524" max="11524" width="10.5703125" style="77" customWidth="1"/>
    <col min="11525" max="11525" width="9.7109375" style="77" customWidth="1"/>
    <col min="11526" max="11526" width="9.42578125" style="77" customWidth="1"/>
    <col min="11527" max="11527" width="9.140625" style="77"/>
    <col min="11528" max="11528" width="8.5703125" style="77" customWidth="1"/>
    <col min="11529" max="11529" width="10.7109375" style="77" customWidth="1"/>
    <col min="11530" max="11546" width="0" style="77" hidden="1" customWidth="1"/>
    <col min="11547" max="11548" width="9.140625" style="77" customWidth="1"/>
    <col min="11549" max="11549" width="12.85546875" style="77" customWidth="1"/>
    <col min="11550" max="11551" width="10.140625" style="77" customWidth="1"/>
    <col min="11552" max="11554" width="9.140625" style="77" customWidth="1"/>
    <col min="11555" max="11559" width="10.28515625" style="77" customWidth="1"/>
    <col min="11560" max="11561" width="12.7109375" style="77" customWidth="1"/>
    <col min="11562" max="11717" width="9.140625" style="77" customWidth="1"/>
    <col min="11718" max="11776" width="9.140625" style="77"/>
    <col min="11777" max="11777" width="13.7109375" style="77" customWidth="1"/>
    <col min="11778" max="11778" width="9.85546875" style="77" customWidth="1"/>
    <col min="11779" max="11779" width="12.28515625" style="77" customWidth="1"/>
    <col min="11780" max="11780" width="10.5703125" style="77" customWidth="1"/>
    <col min="11781" max="11781" width="9.7109375" style="77" customWidth="1"/>
    <col min="11782" max="11782" width="9.42578125" style="77" customWidth="1"/>
    <col min="11783" max="11783" width="9.140625" style="77"/>
    <col min="11784" max="11784" width="8.5703125" style="77" customWidth="1"/>
    <col min="11785" max="11785" width="10.7109375" style="77" customWidth="1"/>
    <col min="11786" max="11802" width="0" style="77" hidden="1" customWidth="1"/>
    <col min="11803" max="11804" width="9.140625" style="77" customWidth="1"/>
    <col min="11805" max="11805" width="12.85546875" style="77" customWidth="1"/>
    <col min="11806" max="11807" width="10.140625" style="77" customWidth="1"/>
    <col min="11808" max="11810" width="9.140625" style="77" customWidth="1"/>
    <col min="11811" max="11815" width="10.28515625" style="77" customWidth="1"/>
    <col min="11816" max="11817" width="12.7109375" style="77" customWidth="1"/>
    <col min="11818" max="11973" width="9.140625" style="77" customWidth="1"/>
    <col min="11974" max="12032" width="9.140625" style="77"/>
    <col min="12033" max="12033" width="13.7109375" style="77" customWidth="1"/>
    <col min="12034" max="12034" width="9.85546875" style="77" customWidth="1"/>
    <col min="12035" max="12035" width="12.28515625" style="77" customWidth="1"/>
    <col min="12036" max="12036" width="10.5703125" style="77" customWidth="1"/>
    <col min="12037" max="12037" width="9.7109375" style="77" customWidth="1"/>
    <col min="12038" max="12038" width="9.42578125" style="77" customWidth="1"/>
    <col min="12039" max="12039" width="9.140625" style="77"/>
    <col min="12040" max="12040" width="8.5703125" style="77" customWidth="1"/>
    <col min="12041" max="12041" width="10.7109375" style="77" customWidth="1"/>
    <col min="12042" max="12058" width="0" style="77" hidden="1" customWidth="1"/>
    <col min="12059" max="12060" width="9.140625" style="77" customWidth="1"/>
    <col min="12061" max="12061" width="12.85546875" style="77" customWidth="1"/>
    <col min="12062" max="12063" width="10.140625" style="77" customWidth="1"/>
    <col min="12064" max="12066" width="9.140625" style="77" customWidth="1"/>
    <col min="12067" max="12071" width="10.28515625" style="77" customWidth="1"/>
    <col min="12072" max="12073" width="12.7109375" style="77" customWidth="1"/>
    <col min="12074" max="12229" width="9.140625" style="77" customWidth="1"/>
    <col min="12230" max="12288" width="9.140625" style="77"/>
    <col min="12289" max="12289" width="13.7109375" style="77" customWidth="1"/>
    <col min="12290" max="12290" width="9.85546875" style="77" customWidth="1"/>
    <col min="12291" max="12291" width="12.28515625" style="77" customWidth="1"/>
    <col min="12292" max="12292" width="10.5703125" style="77" customWidth="1"/>
    <col min="12293" max="12293" width="9.7109375" style="77" customWidth="1"/>
    <col min="12294" max="12294" width="9.42578125" style="77" customWidth="1"/>
    <col min="12295" max="12295" width="9.140625" style="77"/>
    <col min="12296" max="12296" width="8.5703125" style="77" customWidth="1"/>
    <col min="12297" max="12297" width="10.7109375" style="77" customWidth="1"/>
    <col min="12298" max="12314" width="0" style="77" hidden="1" customWidth="1"/>
    <col min="12315" max="12316" width="9.140625" style="77" customWidth="1"/>
    <col min="12317" max="12317" width="12.85546875" style="77" customWidth="1"/>
    <col min="12318" max="12319" width="10.140625" style="77" customWidth="1"/>
    <col min="12320" max="12322" width="9.140625" style="77" customWidth="1"/>
    <col min="12323" max="12327" width="10.28515625" style="77" customWidth="1"/>
    <col min="12328" max="12329" width="12.7109375" style="77" customWidth="1"/>
    <col min="12330" max="12485" width="9.140625" style="77" customWidth="1"/>
    <col min="12486" max="12544" width="9.140625" style="77"/>
    <col min="12545" max="12545" width="13.7109375" style="77" customWidth="1"/>
    <col min="12546" max="12546" width="9.85546875" style="77" customWidth="1"/>
    <col min="12547" max="12547" width="12.28515625" style="77" customWidth="1"/>
    <col min="12548" max="12548" width="10.5703125" style="77" customWidth="1"/>
    <col min="12549" max="12549" width="9.7109375" style="77" customWidth="1"/>
    <col min="12550" max="12550" width="9.42578125" style="77" customWidth="1"/>
    <col min="12551" max="12551" width="9.140625" style="77"/>
    <col min="12552" max="12552" width="8.5703125" style="77" customWidth="1"/>
    <col min="12553" max="12553" width="10.7109375" style="77" customWidth="1"/>
    <col min="12554" max="12570" width="0" style="77" hidden="1" customWidth="1"/>
    <col min="12571" max="12572" width="9.140625" style="77" customWidth="1"/>
    <col min="12573" max="12573" width="12.85546875" style="77" customWidth="1"/>
    <col min="12574" max="12575" width="10.140625" style="77" customWidth="1"/>
    <col min="12576" max="12578" width="9.140625" style="77" customWidth="1"/>
    <col min="12579" max="12583" width="10.28515625" style="77" customWidth="1"/>
    <col min="12584" max="12585" width="12.7109375" style="77" customWidth="1"/>
    <col min="12586" max="12741" width="9.140625" style="77" customWidth="1"/>
    <col min="12742" max="12800" width="9.140625" style="77"/>
    <col min="12801" max="12801" width="13.7109375" style="77" customWidth="1"/>
    <col min="12802" max="12802" width="9.85546875" style="77" customWidth="1"/>
    <col min="12803" max="12803" width="12.28515625" style="77" customWidth="1"/>
    <col min="12804" max="12804" width="10.5703125" style="77" customWidth="1"/>
    <col min="12805" max="12805" width="9.7109375" style="77" customWidth="1"/>
    <col min="12806" max="12806" width="9.42578125" style="77" customWidth="1"/>
    <col min="12807" max="12807" width="9.140625" style="77"/>
    <col min="12808" max="12808" width="8.5703125" style="77" customWidth="1"/>
    <col min="12809" max="12809" width="10.7109375" style="77" customWidth="1"/>
    <col min="12810" max="12826" width="0" style="77" hidden="1" customWidth="1"/>
    <col min="12827" max="12828" width="9.140625" style="77" customWidth="1"/>
    <col min="12829" max="12829" width="12.85546875" style="77" customWidth="1"/>
    <col min="12830" max="12831" width="10.140625" style="77" customWidth="1"/>
    <col min="12832" max="12834" width="9.140625" style="77" customWidth="1"/>
    <col min="12835" max="12839" width="10.28515625" style="77" customWidth="1"/>
    <col min="12840" max="12841" width="12.7109375" style="77" customWidth="1"/>
    <col min="12842" max="12997" width="9.140625" style="77" customWidth="1"/>
    <col min="12998" max="13056" width="9.140625" style="77"/>
    <col min="13057" max="13057" width="13.7109375" style="77" customWidth="1"/>
    <col min="13058" max="13058" width="9.85546875" style="77" customWidth="1"/>
    <col min="13059" max="13059" width="12.28515625" style="77" customWidth="1"/>
    <col min="13060" max="13060" width="10.5703125" style="77" customWidth="1"/>
    <col min="13061" max="13061" width="9.7109375" style="77" customWidth="1"/>
    <col min="13062" max="13062" width="9.42578125" style="77" customWidth="1"/>
    <col min="13063" max="13063" width="9.140625" style="77"/>
    <col min="13064" max="13064" width="8.5703125" style="77" customWidth="1"/>
    <col min="13065" max="13065" width="10.7109375" style="77" customWidth="1"/>
    <col min="13066" max="13082" width="0" style="77" hidden="1" customWidth="1"/>
    <col min="13083" max="13084" width="9.140625" style="77" customWidth="1"/>
    <col min="13085" max="13085" width="12.85546875" style="77" customWidth="1"/>
    <col min="13086" max="13087" width="10.140625" style="77" customWidth="1"/>
    <col min="13088" max="13090" width="9.140625" style="77" customWidth="1"/>
    <col min="13091" max="13095" width="10.28515625" style="77" customWidth="1"/>
    <col min="13096" max="13097" width="12.7109375" style="77" customWidth="1"/>
    <col min="13098" max="13253" width="9.140625" style="77" customWidth="1"/>
    <col min="13254" max="13312" width="9.140625" style="77"/>
    <col min="13313" max="13313" width="13.7109375" style="77" customWidth="1"/>
    <col min="13314" max="13314" width="9.85546875" style="77" customWidth="1"/>
    <col min="13315" max="13315" width="12.28515625" style="77" customWidth="1"/>
    <col min="13316" max="13316" width="10.5703125" style="77" customWidth="1"/>
    <col min="13317" max="13317" width="9.7109375" style="77" customWidth="1"/>
    <col min="13318" max="13318" width="9.42578125" style="77" customWidth="1"/>
    <col min="13319" max="13319" width="9.140625" style="77"/>
    <col min="13320" max="13320" width="8.5703125" style="77" customWidth="1"/>
    <col min="13321" max="13321" width="10.7109375" style="77" customWidth="1"/>
    <col min="13322" max="13338" width="0" style="77" hidden="1" customWidth="1"/>
    <col min="13339" max="13340" width="9.140625" style="77" customWidth="1"/>
    <col min="13341" max="13341" width="12.85546875" style="77" customWidth="1"/>
    <col min="13342" max="13343" width="10.140625" style="77" customWidth="1"/>
    <col min="13344" max="13346" width="9.140625" style="77" customWidth="1"/>
    <col min="13347" max="13351" width="10.28515625" style="77" customWidth="1"/>
    <col min="13352" max="13353" width="12.7109375" style="77" customWidth="1"/>
    <col min="13354" max="13509" width="9.140625" style="77" customWidth="1"/>
    <col min="13510" max="13568" width="9.140625" style="77"/>
    <col min="13569" max="13569" width="13.7109375" style="77" customWidth="1"/>
    <col min="13570" max="13570" width="9.85546875" style="77" customWidth="1"/>
    <col min="13571" max="13571" width="12.28515625" style="77" customWidth="1"/>
    <col min="13572" max="13572" width="10.5703125" style="77" customWidth="1"/>
    <col min="13573" max="13573" width="9.7109375" style="77" customWidth="1"/>
    <col min="13574" max="13574" width="9.42578125" style="77" customWidth="1"/>
    <col min="13575" max="13575" width="9.140625" style="77"/>
    <col min="13576" max="13576" width="8.5703125" style="77" customWidth="1"/>
    <col min="13577" max="13577" width="10.7109375" style="77" customWidth="1"/>
    <col min="13578" max="13594" width="0" style="77" hidden="1" customWidth="1"/>
    <col min="13595" max="13596" width="9.140625" style="77" customWidth="1"/>
    <col min="13597" max="13597" width="12.85546875" style="77" customWidth="1"/>
    <col min="13598" max="13599" width="10.140625" style="77" customWidth="1"/>
    <col min="13600" max="13602" width="9.140625" style="77" customWidth="1"/>
    <col min="13603" max="13607" width="10.28515625" style="77" customWidth="1"/>
    <col min="13608" max="13609" width="12.7109375" style="77" customWidth="1"/>
    <col min="13610" max="13765" width="9.140625" style="77" customWidth="1"/>
    <col min="13766" max="13824" width="9.140625" style="77"/>
    <col min="13825" max="13825" width="13.7109375" style="77" customWidth="1"/>
    <col min="13826" max="13826" width="9.85546875" style="77" customWidth="1"/>
    <col min="13827" max="13827" width="12.28515625" style="77" customWidth="1"/>
    <col min="13828" max="13828" width="10.5703125" style="77" customWidth="1"/>
    <col min="13829" max="13829" width="9.7109375" style="77" customWidth="1"/>
    <col min="13830" max="13830" width="9.42578125" style="77" customWidth="1"/>
    <col min="13831" max="13831" width="9.140625" style="77"/>
    <col min="13832" max="13832" width="8.5703125" style="77" customWidth="1"/>
    <col min="13833" max="13833" width="10.7109375" style="77" customWidth="1"/>
    <col min="13834" max="13850" width="0" style="77" hidden="1" customWidth="1"/>
    <col min="13851" max="13852" width="9.140625" style="77" customWidth="1"/>
    <col min="13853" max="13853" width="12.85546875" style="77" customWidth="1"/>
    <col min="13854" max="13855" width="10.140625" style="77" customWidth="1"/>
    <col min="13856" max="13858" width="9.140625" style="77" customWidth="1"/>
    <col min="13859" max="13863" width="10.28515625" style="77" customWidth="1"/>
    <col min="13864" max="13865" width="12.7109375" style="77" customWidth="1"/>
    <col min="13866" max="14021" width="9.140625" style="77" customWidth="1"/>
    <col min="14022" max="14080" width="9.140625" style="77"/>
    <col min="14081" max="14081" width="13.7109375" style="77" customWidth="1"/>
    <col min="14082" max="14082" width="9.85546875" style="77" customWidth="1"/>
    <col min="14083" max="14083" width="12.28515625" style="77" customWidth="1"/>
    <col min="14084" max="14084" width="10.5703125" style="77" customWidth="1"/>
    <col min="14085" max="14085" width="9.7109375" style="77" customWidth="1"/>
    <col min="14086" max="14086" width="9.42578125" style="77" customWidth="1"/>
    <col min="14087" max="14087" width="9.140625" style="77"/>
    <col min="14088" max="14088" width="8.5703125" style="77" customWidth="1"/>
    <col min="14089" max="14089" width="10.7109375" style="77" customWidth="1"/>
    <col min="14090" max="14106" width="0" style="77" hidden="1" customWidth="1"/>
    <col min="14107" max="14108" width="9.140625" style="77" customWidth="1"/>
    <col min="14109" max="14109" width="12.85546875" style="77" customWidth="1"/>
    <col min="14110" max="14111" width="10.140625" style="77" customWidth="1"/>
    <col min="14112" max="14114" width="9.140625" style="77" customWidth="1"/>
    <col min="14115" max="14119" width="10.28515625" style="77" customWidth="1"/>
    <col min="14120" max="14121" width="12.7109375" style="77" customWidth="1"/>
    <col min="14122" max="14277" width="9.140625" style="77" customWidth="1"/>
    <col min="14278" max="14336" width="9.140625" style="77"/>
    <col min="14337" max="14337" width="13.7109375" style="77" customWidth="1"/>
    <col min="14338" max="14338" width="9.85546875" style="77" customWidth="1"/>
    <col min="14339" max="14339" width="12.28515625" style="77" customWidth="1"/>
    <col min="14340" max="14340" width="10.5703125" style="77" customWidth="1"/>
    <col min="14341" max="14341" width="9.7109375" style="77" customWidth="1"/>
    <col min="14342" max="14342" width="9.42578125" style="77" customWidth="1"/>
    <col min="14343" max="14343" width="9.140625" style="77"/>
    <col min="14344" max="14344" width="8.5703125" style="77" customWidth="1"/>
    <col min="14345" max="14345" width="10.7109375" style="77" customWidth="1"/>
    <col min="14346" max="14362" width="0" style="77" hidden="1" customWidth="1"/>
    <col min="14363" max="14364" width="9.140625" style="77" customWidth="1"/>
    <col min="14365" max="14365" width="12.85546875" style="77" customWidth="1"/>
    <col min="14366" max="14367" width="10.140625" style="77" customWidth="1"/>
    <col min="14368" max="14370" width="9.140625" style="77" customWidth="1"/>
    <col min="14371" max="14375" width="10.28515625" style="77" customWidth="1"/>
    <col min="14376" max="14377" width="12.7109375" style="77" customWidth="1"/>
    <col min="14378" max="14533" width="9.140625" style="77" customWidth="1"/>
    <col min="14534" max="14592" width="9.140625" style="77"/>
    <col min="14593" max="14593" width="13.7109375" style="77" customWidth="1"/>
    <col min="14594" max="14594" width="9.85546875" style="77" customWidth="1"/>
    <col min="14595" max="14595" width="12.28515625" style="77" customWidth="1"/>
    <col min="14596" max="14596" width="10.5703125" style="77" customWidth="1"/>
    <col min="14597" max="14597" width="9.7109375" style="77" customWidth="1"/>
    <col min="14598" max="14598" width="9.42578125" style="77" customWidth="1"/>
    <col min="14599" max="14599" width="9.140625" style="77"/>
    <col min="14600" max="14600" width="8.5703125" style="77" customWidth="1"/>
    <col min="14601" max="14601" width="10.7109375" style="77" customWidth="1"/>
    <col min="14602" max="14618" width="0" style="77" hidden="1" customWidth="1"/>
    <col min="14619" max="14620" width="9.140625" style="77" customWidth="1"/>
    <col min="14621" max="14621" width="12.85546875" style="77" customWidth="1"/>
    <col min="14622" max="14623" width="10.140625" style="77" customWidth="1"/>
    <col min="14624" max="14626" width="9.140625" style="77" customWidth="1"/>
    <col min="14627" max="14631" width="10.28515625" style="77" customWidth="1"/>
    <col min="14632" max="14633" width="12.7109375" style="77" customWidth="1"/>
    <col min="14634" max="14789" width="9.140625" style="77" customWidth="1"/>
    <col min="14790" max="14848" width="9.140625" style="77"/>
    <col min="14849" max="14849" width="13.7109375" style="77" customWidth="1"/>
    <col min="14850" max="14850" width="9.85546875" style="77" customWidth="1"/>
    <col min="14851" max="14851" width="12.28515625" style="77" customWidth="1"/>
    <col min="14852" max="14852" width="10.5703125" style="77" customWidth="1"/>
    <col min="14853" max="14853" width="9.7109375" style="77" customWidth="1"/>
    <col min="14854" max="14854" width="9.42578125" style="77" customWidth="1"/>
    <col min="14855" max="14855" width="9.140625" style="77"/>
    <col min="14856" max="14856" width="8.5703125" style="77" customWidth="1"/>
    <col min="14857" max="14857" width="10.7109375" style="77" customWidth="1"/>
    <col min="14858" max="14874" width="0" style="77" hidden="1" customWidth="1"/>
    <col min="14875" max="14876" width="9.140625" style="77" customWidth="1"/>
    <col min="14877" max="14877" width="12.85546875" style="77" customWidth="1"/>
    <col min="14878" max="14879" width="10.140625" style="77" customWidth="1"/>
    <col min="14880" max="14882" width="9.140625" style="77" customWidth="1"/>
    <col min="14883" max="14887" width="10.28515625" style="77" customWidth="1"/>
    <col min="14888" max="14889" width="12.7109375" style="77" customWidth="1"/>
    <col min="14890" max="15045" width="9.140625" style="77" customWidth="1"/>
    <col min="15046" max="15104" width="9.140625" style="77"/>
    <col min="15105" max="15105" width="13.7109375" style="77" customWidth="1"/>
    <col min="15106" max="15106" width="9.85546875" style="77" customWidth="1"/>
    <col min="15107" max="15107" width="12.28515625" style="77" customWidth="1"/>
    <col min="15108" max="15108" width="10.5703125" style="77" customWidth="1"/>
    <col min="15109" max="15109" width="9.7109375" style="77" customWidth="1"/>
    <col min="15110" max="15110" width="9.42578125" style="77" customWidth="1"/>
    <col min="15111" max="15111" width="9.140625" style="77"/>
    <col min="15112" max="15112" width="8.5703125" style="77" customWidth="1"/>
    <col min="15113" max="15113" width="10.7109375" style="77" customWidth="1"/>
    <col min="15114" max="15130" width="0" style="77" hidden="1" customWidth="1"/>
    <col min="15131" max="15132" width="9.140625" style="77" customWidth="1"/>
    <col min="15133" max="15133" width="12.85546875" style="77" customWidth="1"/>
    <col min="15134" max="15135" width="10.140625" style="77" customWidth="1"/>
    <col min="15136" max="15138" width="9.140625" style="77" customWidth="1"/>
    <col min="15139" max="15143" width="10.28515625" style="77" customWidth="1"/>
    <col min="15144" max="15145" width="12.7109375" style="77" customWidth="1"/>
    <col min="15146" max="15301" width="9.140625" style="77" customWidth="1"/>
    <col min="15302" max="15360" width="9.140625" style="77"/>
    <col min="15361" max="15361" width="13.7109375" style="77" customWidth="1"/>
    <col min="15362" max="15362" width="9.85546875" style="77" customWidth="1"/>
    <col min="15363" max="15363" width="12.28515625" style="77" customWidth="1"/>
    <col min="15364" max="15364" width="10.5703125" style="77" customWidth="1"/>
    <col min="15365" max="15365" width="9.7109375" style="77" customWidth="1"/>
    <col min="15366" max="15366" width="9.42578125" style="77" customWidth="1"/>
    <col min="15367" max="15367" width="9.140625" style="77"/>
    <col min="15368" max="15368" width="8.5703125" style="77" customWidth="1"/>
    <col min="15369" max="15369" width="10.7109375" style="77" customWidth="1"/>
    <col min="15370" max="15386" width="0" style="77" hidden="1" customWidth="1"/>
    <col min="15387" max="15388" width="9.140625" style="77" customWidth="1"/>
    <col min="15389" max="15389" width="12.85546875" style="77" customWidth="1"/>
    <col min="15390" max="15391" width="10.140625" style="77" customWidth="1"/>
    <col min="15392" max="15394" width="9.140625" style="77" customWidth="1"/>
    <col min="15395" max="15399" width="10.28515625" style="77" customWidth="1"/>
    <col min="15400" max="15401" width="12.7109375" style="77" customWidth="1"/>
    <col min="15402" max="15557" width="9.140625" style="77" customWidth="1"/>
    <col min="15558" max="15616" width="9.140625" style="77"/>
    <col min="15617" max="15617" width="13.7109375" style="77" customWidth="1"/>
    <col min="15618" max="15618" width="9.85546875" style="77" customWidth="1"/>
    <col min="15619" max="15619" width="12.28515625" style="77" customWidth="1"/>
    <col min="15620" max="15620" width="10.5703125" style="77" customWidth="1"/>
    <col min="15621" max="15621" width="9.7109375" style="77" customWidth="1"/>
    <col min="15622" max="15622" width="9.42578125" style="77" customWidth="1"/>
    <col min="15623" max="15623" width="9.140625" style="77"/>
    <col min="15624" max="15624" width="8.5703125" style="77" customWidth="1"/>
    <col min="15625" max="15625" width="10.7109375" style="77" customWidth="1"/>
    <col min="15626" max="15642" width="0" style="77" hidden="1" customWidth="1"/>
    <col min="15643" max="15644" width="9.140625" style="77" customWidth="1"/>
    <col min="15645" max="15645" width="12.85546875" style="77" customWidth="1"/>
    <col min="15646" max="15647" width="10.140625" style="77" customWidth="1"/>
    <col min="15648" max="15650" width="9.140625" style="77" customWidth="1"/>
    <col min="15651" max="15655" width="10.28515625" style="77" customWidth="1"/>
    <col min="15656" max="15657" width="12.7109375" style="77" customWidth="1"/>
    <col min="15658" max="15813" width="9.140625" style="77" customWidth="1"/>
    <col min="15814" max="15872" width="9.140625" style="77"/>
    <col min="15873" max="15873" width="13.7109375" style="77" customWidth="1"/>
    <col min="15874" max="15874" width="9.85546875" style="77" customWidth="1"/>
    <col min="15875" max="15875" width="12.28515625" style="77" customWidth="1"/>
    <col min="15876" max="15876" width="10.5703125" style="77" customWidth="1"/>
    <col min="15877" max="15877" width="9.7109375" style="77" customWidth="1"/>
    <col min="15878" max="15878" width="9.42578125" style="77" customWidth="1"/>
    <col min="15879" max="15879" width="9.140625" style="77"/>
    <col min="15880" max="15880" width="8.5703125" style="77" customWidth="1"/>
    <col min="15881" max="15881" width="10.7109375" style="77" customWidth="1"/>
    <col min="15882" max="15898" width="0" style="77" hidden="1" customWidth="1"/>
    <col min="15899" max="15900" width="9.140625" style="77" customWidth="1"/>
    <col min="15901" max="15901" width="12.85546875" style="77" customWidth="1"/>
    <col min="15902" max="15903" width="10.140625" style="77" customWidth="1"/>
    <col min="15904" max="15906" width="9.140625" style="77" customWidth="1"/>
    <col min="15907" max="15911" width="10.28515625" style="77" customWidth="1"/>
    <col min="15912" max="15913" width="12.7109375" style="77" customWidth="1"/>
    <col min="15914" max="16069" width="9.140625" style="77" customWidth="1"/>
    <col min="16070" max="16128" width="9.140625" style="77"/>
    <col min="16129" max="16129" width="13.7109375" style="77" customWidth="1"/>
    <col min="16130" max="16130" width="9.85546875" style="77" customWidth="1"/>
    <col min="16131" max="16131" width="12.28515625" style="77" customWidth="1"/>
    <col min="16132" max="16132" width="10.5703125" style="77" customWidth="1"/>
    <col min="16133" max="16133" width="9.7109375" style="77" customWidth="1"/>
    <col min="16134" max="16134" width="9.42578125" style="77" customWidth="1"/>
    <col min="16135" max="16135" width="9.140625" style="77"/>
    <col min="16136" max="16136" width="8.5703125" style="77" customWidth="1"/>
    <col min="16137" max="16137" width="10.7109375" style="77" customWidth="1"/>
    <col min="16138" max="16154" width="0" style="77" hidden="1" customWidth="1"/>
    <col min="16155" max="16156" width="9.140625" style="77" customWidth="1"/>
    <col min="16157" max="16157" width="12.85546875" style="77" customWidth="1"/>
    <col min="16158" max="16159" width="10.140625" style="77" customWidth="1"/>
    <col min="16160" max="16162" width="9.140625" style="77" customWidth="1"/>
    <col min="16163" max="16167" width="10.28515625" style="77" customWidth="1"/>
    <col min="16168" max="16169" width="12.7109375" style="77" customWidth="1"/>
    <col min="16170" max="16325" width="9.140625" style="77" customWidth="1"/>
    <col min="16326" max="16384" width="9.140625" style="77"/>
  </cols>
  <sheetData>
    <row r="1" spans="1:369" ht="15.75">
      <c r="A1" s="7" t="s">
        <v>985</v>
      </c>
      <c r="B1" s="8"/>
      <c r="C1" s="9"/>
      <c r="D1" s="9"/>
      <c r="E1" s="9"/>
      <c r="F1" s="9"/>
      <c r="G1" s="634"/>
      <c r="H1" s="634"/>
      <c r="I1" s="635"/>
      <c r="J1" s="1060"/>
      <c r="K1" s="1061" t="s">
        <v>25</v>
      </c>
      <c r="L1" s="1062" t="s">
        <v>55</v>
      </c>
      <c r="M1" s="1061"/>
      <c r="N1" s="1063"/>
      <c r="O1" s="1063"/>
      <c r="P1" s="1063"/>
      <c r="Q1" s="1063"/>
      <c r="R1" s="1063"/>
      <c r="S1" s="1063"/>
      <c r="U1" s="1063"/>
      <c r="V1" s="1063"/>
      <c r="W1" s="1063"/>
      <c r="X1" s="1063"/>
      <c r="Y1" s="1063"/>
      <c r="Z1" s="1063"/>
      <c r="AA1" s="1405" t="str">
        <f>Doc!$K$1</f>
        <v>Version 2.3 Updated 8/1/16</v>
      </c>
      <c r="AB1" s="1406"/>
      <c r="AC1" s="753"/>
      <c r="AD1" s="753"/>
      <c r="AE1" s="753"/>
      <c r="AF1" s="753"/>
      <c r="AG1" s="753"/>
      <c r="AH1" s="753"/>
      <c r="AI1" s="991" t="s">
        <v>1191</v>
      </c>
      <c r="AJ1" s="992"/>
      <c r="AK1" s="992"/>
      <c r="AL1" s="992"/>
      <c r="AM1" s="992"/>
      <c r="AN1" s="992"/>
      <c r="AO1" s="993"/>
      <c r="AP1" s="753"/>
      <c r="AQ1" s="753"/>
      <c r="AR1" s="753"/>
      <c r="AS1" s="753"/>
      <c r="AT1" s="753"/>
      <c r="AU1" s="753"/>
      <c r="AV1" s="753"/>
      <c r="AW1" s="753"/>
      <c r="AX1" s="753"/>
      <c r="AY1" s="753"/>
      <c r="AZ1" s="753"/>
      <c r="BA1" s="753"/>
      <c r="BB1" s="753"/>
      <c r="BC1" s="753"/>
      <c r="BD1" s="753"/>
      <c r="BE1" s="753"/>
      <c r="BF1" s="753"/>
      <c r="BG1" s="753"/>
      <c r="BH1" s="753"/>
      <c r="BI1" s="753"/>
      <c r="BJ1" s="753"/>
      <c r="BK1" s="753"/>
      <c r="BL1" s="753"/>
      <c r="BM1" s="753"/>
      <c r="BN1" s="753"/>
      <c r="BO1" s="753"/>
      <c r="BP1" s="753"/>
      <c r="BQ1" s="753"/>
      <c r="BR1" s="753"/>
      <c r="BS1" s="753"/>
      <c r="BT1" s="753"/>
      <c r="BU1" s="753"/>
      <c r="BV1" s="753"/>
      <c r="BW1" s="753"/>
      <c r="BX1" s="753"/>
      <c r="BY1" s="753"/>
      <c r="BZ1" s="753"/>
      <c r="CA1" s="753"/>
      <c r="CB1" s="753"/>
      <c r="CC1" s="753"/>
      <c r="CD1" s="753"/>
      <c r="CE1" s="753"/>
      <c r="CF1" s="753"/>
      <c r="CG1" s="753"/>
      <c r="CH1" s="753"/>
      <c r="CI1" s="753"/>
      <c r="CJ1" s="753"/>
      <c r="CK1" s="753"/>
      <c r="CL1" s="753"/>
      <c r="CM1" s="753"/>
      <c r="CN1" s="753"/>
      <c r="CO1" s="753"/>
      <c r="CP1" s="753"/>
      <c r="CQ1" s="753"/>
      <c r="CR1" s="753"/>
      <c r="CS1" s="753"/>
      <c r="CT1" s="753"/>
      <c r="CU1" s="753"/>
      <c r="CV1" s="753"/>
      <c r="CW1" s="753"/>
      <c r="CX1" s="753"/>
      <c r="CY1" s="753"/>
      <c r="CZ1" s="753"/>
      <c r="DA1" s="753"/>
      <c r="DB1" s="753"/>
      <c r="DC1" s="753"/>
      <c r="DD1" s="753"/>
      <c r="DE1" s="753"/>
      <c r="DF1" s="753"/>
      <c r="DG1" s="753"/>
      <c r="DH1" s="753"/>
      <c r="DI1" s="753"/>
      <c r="DJ1" s="753"/>
      <c r="DK1" s="753"/>
      <c r="DL1" s="753"/>
      <c r="DM1" s="767"/>
      <c r="DN1" s="776"/>
      <c r="DO1" s="758"/>
      <c r="DP1" s="758"/>
      <c r="DQ1" s="758"/>
      <c r="DR1" s="753"/>
      <c r="DS1" s="916"/>
      <c r="DT1" s="758"/>
      <c r="DU1" s="758"/>
      <c r="DV1" s="758"/>
      <c r="DW1" s="758"/>
      <c r="DX1" s="758"/>
      <c r="DY1" s="758"/>
      <c r="DZ1" s="758"/>
      <c r="EA1" s="758"/>
      <c r="EB1" s="758"/>
      <c r="EC1" s="758"/>
      <c r="ED1" s="758"/>
      <c r="EE1" s="758"/>
      <c r="EF1" s="758"/>
      <c r="EG1" s="758"/>
      <c r="EH1" s="758"/>
      <c r="EI1" s="758"/>
      <c r="EJ1" s="758"/>
      <c r="EK1" s="758"/>
      <c r="EL1" s="758"/>
      <c r="EM1" s="758"/>
      <c r="EN1" s="758"/>
      <c r="EO1" s="758"/>
      <c r="EP1" s="758"/>
      <c r="EQ1" s="758"/>
      <c r="ER1" s="758"/>
      <c r="ES1" s="758"/>
      <c r="ET1" s="758"/>
      <c r="EU1" s="758"/>
      <c r="EV1" s="758"/>
      <c r="EW1" s="758"/>
      <c r="EX1" s="758"/>
      <c r="EY1" s="758"/>
      <c r="EZ1" s="758"/>
      <c r="FA1" s="758"/>
      <c r="FB1" s="758"/>
      <c r="FC1" s="758"/>
      <c r="FD1" s="758"/>
      <c r="FE1" s="758"/>
      <c r="FF1" s="758"/>
      <c r="FG1" s="758"/>
      <c r="FH1" s="758"/>
      <c r="FI1" s="758"/>
      <c r="FJ1" s="758"/>
      <c r="FK1" s="758"/>
      <c r="FL1" s="758"/>
      <c r="FM1" s="758"/>
      <c r="FN1" s="758"/>
      <c r="FO1" s="758"/>
      <c r="FP1" s="758"/>
      <c r="FQ1" s="758"/>
      <c r="FR1" s="758"/>
      <c r="FS1" s="758"/>
      <c r="FT1" s="758"/>
      <c r="FU1" s="758"/>
      <c r="FV1" s="758"/>
      <c r="FW1" s="758"/>
      <c r="FX1" s="758"/>
      <c r="FY1" s="758"/>
      <c r="FZ1" s="758"/>
      <c r="GA1" s="758"/>
      <c r="GB1" s="758"/>
      <c r="GC1" s="758"/>
      <c r="GD1" s="758"/>
      <c r="GE1" s="758"/>
      <c r="GF1" s="758"/>
      <c r="GG1" s="758"/>
      <c r="GH1" s="758"/>
      <c r="GI1" s="758"/>
      <c r="GJ1" s="758"/>
      <c r="GK1" s="758"/>
      <c r="GL1" s="758"/>
      <c r="GM1" s="758"/>
      <c r="GN1" s="758"/>
      <c r="GO1" s="758"/>
      <c r="GP1" s="758"/>
      <c r="GQ1" s="758"/>
      <c r="GR1" s="758"/>
      <c r="GS1" s="758"/>
      <c r="GT1" s="758"/>
      <c r="GU1" s="758"/>
      <c r="GV1" s="758"/>
      <c r="GW1" s="758"/>
      <c r="GX1" s="758"/>
      <c r="GY1" s="758"/>
      <c r="GZ1" s="758"/>
      <c r="HA1" s="758"/>
      <c r="HB1" s="758"/>
      <c r="HC1" s="758"/>
      <c r="HD1" s="758"/>
      <c r="HE1" s="758"/>
      <c r="HF1" s="758"/>
      <c r="HG1" s="758"/>
      <c r="HH1" s="758"/>
      <c r="HI1" s="758"/>
      <c r="HJ1" s="758"/>
      <c r="HK1" s="758"/>
      <c r="HL1" s="758"/>
      <c r="HM1" s="758"/>
      <c r="HN1" s="758"/>
      <c r="HO1" s="758"/>
      <c r="HP1" s="758"/>
      <c r="HQ1" s="758"/>
      <c r="HR1" s="758"/>
      <c r="HS1" s="758"/>
      <c r="HT1" s="758"/>
      <c r="HU1" s="758"/>
      <c r="HV1" s="758"/>
      <c r="HW1" s="758"/>
      <c r="HX1" s="758"/>
      <c r="HY1" s="758"/>
      <c r="HZ1" s="758"/>
      <c r="IA1" s="758"/>
      <c r="IB1" s="758"/>
      <c r="IC1" s="758"/>
      <c r="ID1" s="758"/>
      <c r="IE1" s="758"/>
      <c r="IF1" s="758"/>
      <c r="IG1" s="758"/>
      <c r="IH1" s="758"/>
      <c r="II1" s="758"/>
      <c r="IJ1" s="758"/>
      <c r="IK1" s="758"/>
      <c r="IL1" s="758"/>
      <c r="IM1" s="758"/>
      <c r="IN1" s="758"/>
      <c r="IO1" s="758"/>
      <c r="IP1" s="758"/>
      <c r="IQ1" s="758"/>
      <c r="IR1" s="758"/>
      <c r="IS1" s="758"/>
      <c r="IT1" s="758"/>
      <c r="IU1" s="758"/>
      <c r="IV1" s="758"/>
      <c r="IW1" s="758"/>
      <c r="IX1" s="758"/>
      <c r="IY1" s="758"/>
      <c r="IZ1" s="758"/>
      <c r="JA1" s="758"/>
      <c r="JB1" s="758"/>
      <c r="JC1" s="758"/>
      <c r="JD1" s="758"/>
      <c r="JE1" s="758"/>
      <c r="JF1" s="758"/>
      <c r="JG1" s="758"/>
      <c r="JH1" s="758"/>
      <c r="JI1" s="758"/>
      <c r="JJ1" s="758"/>
      <c r="JK1" s="758"/>
      <c r="JL1" s="758"/>
      <c r="JM1" s="758"/>
      <c r="JN1" s="758"/>
      <c r="JO1" s="758"/>
      <c r="JP1" s="758"/>
      <c r="JQ1" s="758"/>
      <c r="JR1" s="758"/>
      <c r="JS1" s="758"/>
      <c r="JT1" s="758"/>
      <c r="JU1" s="758"/>
      <c r="JV1" s="758"/>
      <c r="JW1" s="758"/>
      <c r="JX1" s="758"/>
      <c r="JY1" s="758"/>
      <c r="JZ1" s="758"/>
      <c r="KA1" s="758"/>
      <c r="KB1" s="758"/>
      <c r="KC1" s="758"/>
      <c r="KD1" s="758"/>
      <c r="KE1" s="758"/>
      <c r="KF1" s="758"/>
      <c r="KG1" s="758"/>
      <c r="KH1" s="758"/>
      <c r="KI1" s="758"/>
      <c r="KJ1" s="758"/>
      <c r="KK1" s="758"/>
      <c r="KL1" s="758"/>
      <c r="KM1" s="758"/>
      <c r="KN1" s="758"/>
      <c r="KO1" s="758"/>
      <c r="KP1" s="758"/>
      <c r="KQ1" s="758"/>
      <c r="KR1" s="758"/>
      <c r="KS1" s="758"/>
      <c r="KT1" s="758"/>
      <c r="KU1" s="758"/>
      <c r="KV1" s="758"/>
      <c r="KW1" s="758"/>
      <c r="KX1" s="758"/>
      <c r="KY1" s="758"/>
      <c r="KZ1" s="758"/>
      <c r="LA1" s="758"/>
      <c r="LB1" s="758"/>
      <c r="LC1" s="758"/>
      <c r="LD1" s="758"/>
      <c r="LE1" s="758"/>
      <c r="LF1" s="758"/>
      <c r="LG1" s="758"/>
      <c r="LH1" s="758"/>
      <c r="LI1" s="758"/>
      <c r="LJ1" s="758"/>
      <c r="LK1" s="758"/>
      <c r="LL1" s="758"/>
      <c r="LM1" s="758"/>
      <c r="LN1" s="758"/>
      <c r="LO1" s="758"/>
      <c r="LP1" s="758"/>
      <c r="LQ1" s="758"/>
      <c r="LR1" s="758"/>
      <c r="LS1" s="758"/>
      <c r="LT1" s="758"/>
      <c r="LU1" s="758"/>
      <c r="LV1" s="758"/>
      <c r="LW1" s="758"/>
      <c r="LX1" s="758"/>
      <c r="LY1" s="758"/>
      <c r="LZ1" s="758"/>
      <c r="MA1" s="758"/>
      <c r="MB1" s="758"/>
      <c r="MC1" s="758"/>
      <c r="MD1" s="758"/>
      <c r="ME1" s="758"/>
      <c r="MF1" s="758"/>
      <c r="MG1" s="758"/>
      <c r="MH1" s="758"/>
      <c r="MI1" s="758"/>
      <c r="MJ1" s="758"/>
      <c r="MK1" s="758"/>
      <c r="ML1" s="758"/>
      <c r="MM1" s="758"/>
      <c r="MN1" s="758"/>
      <c r="MO1" s="758"/>
      <c r="MP1" s="758"/>
      <c r="MQ1" s="758"/>
      <c r="MR1" s="758"/>
      <c r="MS1" s="758"/>
      <c r="MT1" s="758"/>
      <c r="MU1" s="758"/>
      <c r="MV1" s="758"/>
      <c r="MW1" s="758"/>
      <c r="MX1" s="758"/>
      <c r="MY1" s="758"/>
      <c r="MZ1" s="758"/>
      <c r="NA1" s="758"/>
      <c r="NB1" s="758"/>
      <c r="NC1" s="758"/>
      <c r="ND1" s="758"/>
      <c r="NE1" s="758"/>
    </row>
    <row r="2" spans="1:369" ht="12.75" customHeight="1">
      <c r="A2" s="22" t="s">
        <v>452</v>
      </c>
      <c r="B2" s="23"/>
      <c r="C2" s="23"/>
      <c r="D2" s="23"/>
      <c r="E2" s="23"/>
      <c r="F2" s="23"/>
      <c r="G2" s="23"/>
      <c r="H2" s="23"/>
      <c r="I2" s="24"/>
      <c r="J2" s="1061"/>
      <c r="K2" s="1061" t="s">
        <v>25</v>
      </c>
      <c r="L2" s="1061" t="s">
        <v>25</v>
      </c>
      <c r="M2" s="1061" t="s">
        <v>25</v>
      </c>
      <c r="N2" s="1063"/>
      <c r="O2" s="1064"/>
      <c r="P2" s="1063"/>
      <c r="Q2" s="1063"/>
      <c r="R2" s="1063"/>
      <c r="S2" s="1063"/>
      <c r="U2" s="1063"/>
      <c r="V2" s="1063"/>
      <c r="W2" s="1063"/>
      <c r="X2" s="1063"/>
      <c r="Y2" s="1063"/>
      <c r="Z2" s="1063"/>
      <c r="AA2" s="753"/>
      <c r="AB2" s="753"/>
      <c r="AC2" s="753"/>
      <c r="AD2" s="753"/>
      <c r="AE2" s="753"/>
      <c r="AF2" s="753"/>
      <c r="AG2" s="753"/>
      <c r="AH2" s="753"/>
      <c r="AI2" s="994" t="s">
        <v>986</v>
      </c>
      <c r="AJ2" s="995"/>
      <c r="AK2" s="995"/>
      <c r="AL2" s="995"/>
      <c r="AM2" s="995"/>
      <c r="AN2" s="995"/>
      <c r="AO2" s="996"/>
      <c r="AP2" s="753"/>
      <c r="AQ2" s="753"/>
      <c r="AR2" s="753"/>
      <c r="AS2" s="753"/>
      <c r="AT2" s="753"/>
      <c r="AU2" s="753"/>
      <c r="AV2" s="753"/>
      <c r="AW2" s="753"/>
      <c r="AX2" s="753"/>
      <c r="AY2" s="753"/>
      <c r="AZ2" s="753"/>
      <c r="BA2" s="753"/>
      <c r="BB2" s="753"/>
      <c r="BC2" s="753"/>
      <c r="BD2" s="753"/>
      <c r="BE2" s="753"/>
      <c r="BF2" s="753"/>
      <c r="BG2" s="753"/>
      <c r="BH2" s="753"/>
      <c r="BI2" s="753"/>
      <c r="BJ2" s="753"/>
      <c r="BK2" s="753"/>
      <c r="BL2" s="753"/>
      <c r="BM2" s="753"/>
      <c r="BN2" s="753"/>
      <c r="BO2" s="753"/>
      <c r="BP2" s="753"/>
      <c r="BQ2" s="753"/>
      <c r="BR2" s="753"/>
      <c r="BS2" s="753"/>
      <c r="BT2" s="753"/>
      <c r="BU2" s="753"/>
      <c r="BV2" s="753"/>
      <c r="BW2" s="753"/>
      <c r="BX2" s="753"/>
      <c r="BY2" s="753"/>
      <c r="BZ2" s="753"/>
      <c r="CA2" s="753"/>
      <c r="CB2" s="753"/>
      <c r="CC2" s="753"/>
      <c r="CD2" s="753"/>
      <c r="CE2" s="753"/>
      <c r="CF2" s="753"/>
      <c r="CG2" s="753"/>
      <c r="CH2" s="753"/>
      <c r="CI2" s="753"/>
      <c r="CJ2" s="753"/>
      <c r="CK2" s="753"/>
      <c r="CL2" s="753"/>
      <c r="CM2" s="753"/>
      <c r="CN2" s="753"/>
      <c r="CO2" s="753"/>
      <c r="CP2" s="753"/>
      <c r="CQ2" s="753"/>
      <c r="CR2" s="753"/>
      <c r="CS2" s="753"/>
      <c r="CT2" s="753"/>
      <c r="CU2" s="753"/>
      <c r="CV2" s="753"/>
      <c r="CW2" s="753"/>
      <c r="CX2" s="753"/>
      <c r="CY2" s="753"/>
      <c r="CZ2" s="753"/>
      <c r="DA2" s="753"/>
      <c r="DB2" s="753"/>
      <c r="DC2" s="753"/>
      <c r="DD2" s="753"/>
      <c r="DE2" s="753"/>
      <c r="DF2" s="753"/>
      <c r="DG2" s="753"/>
      <c r="DH2" s="753"/>
      <c r="DI2" s="753"/>
      <c r="DJ2" s="753"/>
      <c r="DK2" s="753"/>
      <c r="DL2" s="753"/>
      <c r="DM2" s="753"/>
      <c r="DN2" s="776"/>
      <c r="DO2" s="758"/>
      <c r="DP2" s="758"/>
      <c r="DQ2" s="758"/>
      <c r="DR2" s="753"/>
      <c r="DS2" s="769"/>
      <c r="DT2" s="778"/>
      <c r="DU2" s="758"/>
      <c r="DV2" s="758"/>
      <c r="DW2" s="917"/>
      <c r="DX2" s="758"/>
      <c r="DY2" s="758"/>
      <c r="DZ2" s="758"/>
      <c r="EA2" s="758"/>
      <c r="EB2" s="758"/>
      <c r="EC2" s="758"/>
      <c r="ED2" s="758"/>
      <c r="EE2" s="758"/>
      <c r="EF2" s="758"/>
      <c r="EG2" s="758"/>
      <c r="EH2" s="758"/>
      <c r="EI2" s="758"/>
      <c r="EJ2" s="758"/>
      <c r="EK2" s="758"/>
      <c r="EL2" s="758"/>
      <c r="EM2" s="758"/>
      <c r="EN2" s="758"/>
      <c r="EO2" s="758"/>
      <c r="EP2" s="758"/>
      <c r="EQ2" s="758"/>
      <c r="ER2" s="758"/>
      <c r="ES2" s="758"/>
      <c r="ET2" s="758"/>
      <c r="EU2" s="758"/>
      <c r="EV2" s="758"/>
      <c r="EW2" s="758"/>
      <c r="EX2" s="758"/>
      <c r="EY2" s="758"/>
      <c r="EZ2" s="758"/>
      <c r="FA2" s="758"/>
      <c r="FB2" s="758"/>
      <c r="FC2" s="758"/>
      <c r="FD2" s="758"/>
      <c r="FE2" s="758"/>
      <c r="FF2" s="758"/>
      <c r="FG2" s="758"/>
      <c r="FH2" s="758"/>
      <c r="FI2" s="758"/>
      <c r="FJ2" s="758"/>
      <c r="FK2" s="758"/>
      <c r="FL2" s="758"/>
      <c r="FM2" s="758"/>
      <c r="FN2" s="758"/>
      <c r="FO2" s="758"/>
      <c r="FP2" s="758"/>
      <c r="FQ2" s="758"/>
      <c r="FR2" s="758"/>
      <c r="FS2" s="758"/>
      <c r="FT2" s="758"/>
      <c r="FU2" s="758"/>
      <c r="FV2" s="758"/>
      <c r="FW2" s="758"/>
      <c r="FX2" s="758"/>
      <c r="FY2" s="758"/>
      <c r="FZ2" s="758"/>
      <c r="GA2" s="758"/>
      <c r="GB2" s="758"/>
      <c r="GC2" s="758"/>
      <c r="GD2" s="758"/>
      <c r="GE2" s="758"/>
      <c r="GF2" s="758"/>
      <c r="GG2" s="758"/>
      <c r="GH2" s="758"/>
      <c r="GI2" s="758"/>
      <c r="GJ2" s="758"/>
      <c r="GK2" s="758"/>
      <c r="GL2" s="758"/>
      <c r="GM2" s="758"/>
      <c r="GN2" s="758"/>
      <c r="GO2" s="758"/>
      <c r="GP2" s="758"/>
      <c r="GQ2" s="758"/>
      <c r="GR2" s="758"/>
      <c r="GS2" s="758"/>
      <c r="GT2" s="758"/>
      <c r="GU2" s="758"/>
      <c r="GV2" s="758"/>
      <c r="GW2" s="758"/>
      <c r="GX2" s="758"/>
      <c r="GY2" s="758"/>
      <c r="GZ2" s="758"/>
      <c r="HA2" s="758"/>
      <c r="HB2" s="758"/>
      <c r="HC2" s="758"/>
      <c r="HD2" s="758"/>
      <c r="HE2" s="758"/>
      <c r="HF2" s="758"/>
      <c r="HG2" s="758"/>
      <c r="HH2" s="758"/>
      <c r="HI2" s="758"/>
      <c r="HJ2" s="758"/>
      <c r="HK2" s="758"/>
      <c r="HL2" s="758"/>
      <c r="HM2" s="758"/>
      <c r="HN2" s="758"/>
      <c r="HO2" s="758"/>
      <c r="HP2" s="758"/>
      <c r="HQ2" s="758"/>
      <c r="HR2" s="758"/>
      <c r="HS2" s="758"/>
      <c r="HT2" s="758"/>
      <c r="HU2" s="758"/>
      <c r="HV2" s="758"/>
      <c r="HW2" s="758"/>
      <c r="HX2" s="758"/>
      <c r="HY2" s="758"/>
      <c r="HZ2" s="758"/>
      <c r="IA2" s="758"/>
      <c r="IB2" s="758"/>
      <c r="IC2" s="758"/>
      <c r="ID2" s="758"/>
      <c r="IE2" s="758"/>
      <c r="IF2" s="758"/>
      <c r="IG2" s="758"/>
      <c r="IH2" s="758"/>
      <c r="II2" s="758"/>
      <c r="IJ2" s="758"/>
      <c r="IK2" s="758"/>
      <c r="IL2" s="758"/>
      <c r="IM2" s="758"/>
      <c r="IN2" s="758"/>
      <c r="IO2" s="758"/>
      <c r="IP2" s="758"/>
      <c r="IQ2" s="758"/>
      <c r="IR2" s="758"/>
      <c r="IS2" s="758"/>
      <c r="IT2" s="758"/>
      <c r="IU2" s="758"/>
      <c r="IV2" s="758"/>
      <c r="IW2" s="758"/>
      <c r="IX2" s="758"/>
      <c r="IY2" s="758"/>
      <c r="IZ2" s="758"/>
      <c r="JA2" s="758"/>
      <c r="JB2" s="758"/>
      <c r="JC2" s="758"/>
      <c r="JD2" s="758"/>
      <c r="JE2" s="758"/>
      <c r="JF2" s="758"/>
      <c r="JG2" s="758"/>
      <c r="JH2" s="758"/>
      <c r="JI2" s="758"/>
      <c r="JJ2" s="758"/>
      <c r="JK2" s="758"/>
      <c r="JL2" s="758"/>
      <c r="JM2" s="758"/>
      <c r="JN2" s="758"/>
      <c r="JO2" s="758"/>
      <c r="JP2" s="758"/>
      <c r="JQ2" s="758"/>
      <c r="JR2" s="758"/>
      <c r="JS2" s="758"/>
      <c r="JT2" s="758"/>
      <c r="JU2" s="758"/>
      <c r="JV2" s="758"/>
      <c r="JW2" s="758"/>
      <c r="JX2" s="758"/>
      <c r="JY2" s="758"/>
      <c r="JZ2" s="758"/>
      <c r="KA2" s="758"/>
      <c r="KB2" s="758"/>
      <c r="KC2" s="758"/>
      <c r="KD2" s="758"/>
      <c r="KE2" s="758"/>
      <c r="KF2" s="758"/>
      <c r="KG2" s="758"/>
      <c r="KH2" s="758"/>
      <c r="KI2" s="758"/>
      <c r="KJ2" s="758"/>
      <c r="KK2" s="758"/>
      <c r="KL2" s="758"/>
      <c r="KM2" s="758"/>
      <c r="KN2" s="758"/>
      <c r="KO2" s="758"/>
      <c r="KP2" s="758"/>
      <c r="KQ2" s="758"/>
      <c r="KR2" s="758"/>
      <c r="KS2" s="758"/>
      <c r="KT2" s="758"/>
      <c r="KU2" s="758"/>
      <c r="KV2" s="758"/>
      <c r="KW2" s="758"/>
      <c r="KX2" s="758"/>
      <c r="KY2" s="758"/>
      <c r="KZ2" s="758"/>
      <c r="LA2" s="758"/>
      <c r="LB2" s="758"/>
      <c r="LC2" s="758"/>
      <c r="LD2" s="758"/>
      <c r="LE2" s="758"/>
      <c r="LF2" s="758"/>
      <c r="LG2" s="758"/>
      <c r="LH2" s="758"/>
      <c r="LI2" s="758"/>
      <c r="LJ2" s="758"/>
      <c r="LK2" s="758"/>
      <c r="LL2" s="758"/>
      <c r="LM2" s="758"/>
      <c r="LN2" s="758"/>
      <c r="LO2" s="758"/>
      <c r="LP2" s="758"/>
      <c r="LQ2" s="758"/>
      <c r="LR2" s="758"/>
      <c r="LS2" s="758"/>
      <c r="LT2" s="758"/>
      <c r="LU2" s="758"/>
      <c r="LV2" s="758"/>
      <c r="LW2" s="758"/>
      <c r="LX2" s="758"/>
      <c r="LY2" s="758"/>
      <c r="LZ2" s="758"/>
      <c r="MA2" s="758"/>
      <c r="MB2" s="758"/>
      <c r="MC2" s="758"/>
      <c r="MD2" s="758"/>
      <c r="ME2" s="758"/>
      <c r="MF2" s="758"/>
      <c r="MG2" s="758"/>
      <c r="MH2" s="758"/>
      <c r="MI2" s="758"/>
      <c r="MJ2" s="758"/>
      <c r="MK2" s="758"/>
      <c r="ML2" s="758"/>
      <c r="MM2" s="758"/>
      <c r="MN2" s="758"/>
      <c r="MO2" s="758"/>
      <c r="MP2" s="758"/>
      <c r="MQ2" s="758"/>
      <c r="MR2" s="758"/>
      <c r="MS2" s="758"/>
      <c r="MT2" s="758"/>
      <c r="MU2" s="758"/>
      <c r="MV2" s="758"/>
      <c r="MW2" s="758"/>
      <c r="MX2" s="758"/>
      <c r="MY2" s="758"/>
      <c r="MZ2" s="758"/>
      <c r="NA2" s="758"/>
      <c r="NB2" s="758"/>
      <c r="NC2" s="758"/>
      <c r="ND2" s="758"/>
      <c r="NE2" s="758"/>
    </row>
    <row r="3" spans="1:369" ht="12.75" customHeight="1">
      <c r="A3" s="29" t="s">
        <v>987</v>
      </c>
      <c r="B3" s="30"/>
      <c r="C3" s="31"/>
      <c r="D3" s="31"/>
      <c r="E3" s="31"/>
      <c r="F3" s="31"/>
      <c r="G3" s="31"/>
      <c r="H3" s="31"/>
      <c r="I3" s="32"/>
      <c r="J3" s="1063"/>
      <c r="K3" s="1065" t="s">
        <v>28</v>
      </c>
      <c r="L3" s="1066" t="s">
        <v>1181</v>
      </c>
      <c r="M3" s="1067"/>
      <c r="N3" s="1067"/>
      <c r="O3" s="1067"/>
      <c r="P3" s="1067"/>
      <c r="Q3" s="1068"/>
      <c r="R3" s="773"/>
      <c r="S3" s="773"/>
      <c r="T3" s="1066" t="s">
        <v>1191</v>
      </c>
      <c r="U3" s="1067"/>
      <c r="V3" s="1067"/>
      <c r="W3" s="1068"/>
      <c r="X3" s="1063"/>
      <c r="Y3" s="1063"/>
      <c r="Z3" s="1063"/>
      <c r="AA3" s="753"/>
      <c r="AB3" s="753"/>
      <c r="AC3" s="753"/>
      <c r="AD3" s="753"/>
      <c r="AE3" s="753"/>
      <c r="AF3" s="753"/>
      <c r="AG3" s="753"/>
      <c r="AH3" s="753"/>
      <c r="AI3" s="997" t="s">
        <v>988</v>
      </c>
      <c r="AJ3" s="998"/>
      <c r="AK3" s="998"/>
      <c r="AL3" s="998"/>
      <c r="AM3" s="999"/>
      <c r="AN3" s="1000" t="s">
        <v>989</v>
      </c>
      <c r="AO3" s="1000" t="s">
        <v>990</v>
      </c>
      <c r="AP3" s="753"/>
      <c r="AQ3" s="753"/>
      <c r="AR3" s="753"/>
      <c r="AS3" s="753"/>
      <c r="AT3" s="753"/>
      <c r="AU3" s="753"/>
      <c r="AV3" s="753"/>
      <c r="AW3" s="753"/>
      <c r="AX3" s="753"/>
      <c r="AY3" s="753"/>
      <c r="AZ3" s="753"/>
      <c r="BA3" s="753"/>
      <c r="BB3" s="753"/>
      <c r="BC3" s="753"/>
      <c r="BD3" s="753"/>
      <c r="BE3" s="753"/>
      <c r="BF3" s="753"/>
      <c r="BG3" s="753"/>
      <c r="BH3" s="753"/>
      <c r="BI3" s="753"/>
      <c r="BJ3" s="753"/>
      <c r="BK3" s="753"/>
      <c r="BL3" s="753"/>
      <c r="BM3" s="753"/>
      <c r="BN3" s="753"/>
      <c r="BO3" s="753"/>
      <c r="BP3" s="753"/>
      <c r="BQ3" s="753"/>
      <c r="BR3" s="753"/>
      <c r="BS3" s="753"/>
      <c r="BT3" s="753"/>
      <c r="BU3" s="753"/>
      <c r="BV3" s="753"/>
      <c r="BW3" s="753"/>
      <c r="BX3" s="753"/>
      <c r="BY3" s="753"/>
      <c r="BZ3" s="753"/>
      <c r="CA3" s="753"/>
      <c r="CB3" s="753"/>
      <c r="CC3" s="753"/>
      <c r="CD3" s="753"/>
      <c r="CE3" s="753"/>
      <c r="CF3" s="753"/>
      <c r="CG3" s="753"/>
      <c r="CH3" s="753"/>
      <c r="CI3" s="753"/>
      <c r="CJ3" s="753"/>
      <c r="CK3" s="753"/>
      <c r="CL3" s="753"/>
      <c r="CM3" s="753"/>
      <c r="CN3" s="753"/>
      <c r="CO3" s="753"/>
      <c r="CP3" s="753"/>
      <c r="CQ3" s="753"/>
      <c r="CR3" s="753"/>
      <c r="CS3" s="753"/>
      <c r="CT3" s="753"/>
      <c r="CU3" s="753"/>
      <c r="CV3" s="753"/>
      <c r="CW3" s="753"/>
      <c r="CX3" s="753"/>
      <c r="CY3" s="753"/>
      <c r="CZ3" s="753"/>
      <c r="DA3" s="753"/>
      <c r="DB3" s="753"/>
      <c r="DC3" s="753"/>
      <c r="DD3" s="753"/>
      <c r="DE3" s="753"/>
      <c r="DF3" s="753"/>
      <c r="DG3" s="753"/>
      <c r="DH3" s="753"/>
      <c r="DI3" s="753"/>
      <c r="DJ3" s="753"/>
      <c r="DK3" s="753"/>
      <c r="DL3" s="753"/>
      <c r="DM3" s="753"/>
      <c r="DN3" s="776"/>
      <c r="DO3" s="758"/>
      <c r="DP3" s="758"/>
      <c r="DQ3" s="758"/>
      <c r="DR3" s="753"/>
      <c r="DS3" s="811"/>
      <c r="DT3" s="758"/>
      <c r="DU3" s="758"/>
      <c r="DV3" s="758"/>
      <c r="DW3" s="778"/>
      <c r="DX3" s="758"/>
      <c r="DY3" s="758"/>
      <c r="DZ3" s="758"/>
      <c r="EA3" s="758"/>
      <c r="EB3" s="758"/>
      <c r="EC3" s="758"/>
      <c r="ED3" s="758"/>
      <c r="EE3" s="758"/>
      <c r="EF3" s="758"/>
      <c r="EG3" s="758"/>
      <c r="EH3" s="758"/>
      <c r="EI3" s="758"/>
      <c r="EJ3" s="758"/>
      <c r="EK3" s="758"/>
      <c r="EL3" s="758"/>
      <c r="EM3" s="758"/>
      <c r="EN3" s="758"/>
      <c r="EO3" s="758"/>
      <c r="EP3" s="758"/>
      <c r="EQ3" s="758"/>
      <c r="ER3" s="758"/>
      <c r="ES3" s="758"/>
      <c r="ET3" s="758"/>
      <c r="EU3" s="758"/>
      <c r="EV3" s="758"/>
      <c r="EW3" s="758"/>
      <c r="EX3" s="758"/>
      <c r="EY3" s="758"/>
      <c r="EZ3" s="758"/>
      <c r="FA3" s="758"/>
      <c r="FB3" s="758"/>
      <c r="FC3" s="758"/>
      <c r="FD3" s="758"/>
      <c r="FE3" s="758"/>
      <c r="FF3" s="758"/>
      <c r="FG3" s="758"/>
      <c r="FH3" s="758"/>
      <c r="FI3" s="758"/>
      <c r="FJ3" s="758"/>
      <c r="FK3" s="758"/>
      <c r="FL3" s="758"/>
      <c r="FM3" s="758"/>
      <c r="FN3" s="758"/>
      <c r="FO3" s="758"/>
      <c r="FP3" s="758"/>
      <c r="FQ3" s="758"/>
      <c r="FR3" s="758"/>
      <c r="FS3" s="758"/>
      <c r="FT3" s="758"/>
      <c r="FU3" s="758"/>
      <c r="FV3" s="758"/>
      <c r="FW3" s="758"/>
      <c r="FX3" s="758"/>
      <c r="FY3" s="758"/>
      <c r="FZ3" s="758"/>
      <c r="GA3" s="758"/>
      <c r="GB3" s="758"/>
      <c r="GC3" s="758"/>
      <c r="GD3" s="758"/>
      <c r="GE3" s="758"/>
      <c r="GF3" s="758"/>
      <c r="GG3" s="758"/>
      <c r="GH3" s="758"/>
      <c r="GI3" s="758"/>
      <c r="GJ3" s="758"/>
      <c r="GK3" s="758"/>
      <c r="GL3" s="758"/>
      <c r="GM3" s="758"/>
      <c r="GN3" s="758"/>
      <c r="GO3" s="758"/>
      <c r="GP3" s="758"/>
      <c r="GQ3" s="758"/>
      <c r="GR3" s="758"/>
      <c r="GS3" s="758"/>
      <c r="GT3" s="758"/>
      <c r="GU3" s="758"/>
      <c r="GV3" s="758"/>
      <c r="GW3" s="758"/>
      <c r="GX3" s="758"/>
      <c r="GY3" s="758"/>
      <c r="GZ3" s="758"/>
      <c r="HA3" s="758"/>
      <c r="HB3" s="758"/>
      <c r="HC3" s="758"/>
      <c r="HD3" s="758"/>
      <c r="HE3" s="758"/>
      <c r="HF3" s="758"/>
      <c r="HG3" s="758"/>
      <c r="HH3" s="758"/>
      <c r="HI3" s="758"/>
      <c r="HJ3" s="758"/>
      <c r="HK3" s="758"/>
      <c r="HL3" s="758"/>
      <c r="HM3" s="758"/>
      <c r="HN3" s="758"/>
      <c r="HO3" s="758"/>
      <c r="HP3" s="758"/>
      <c r="HQ3" s="758"/>
      <c r="HR3" s="758"/>
      <c r="HS3" s="758"/>
      <c r="HT3" s="758"/>
      <c r="HU3" s="758"/>
      <c r="HV3" s="758"/>
      <c r="HW3" s="758"/>
      <c r="HX3" s="758"/>
      <c r="HY3" s="758"/>
      <c r="HZ3" s="758"/>
      <c r="IA3" s="758"/>
      <c r="IB3" s="758"/>
      <c r="IC3" s="758"/>
      <c r="ID3" s="758"/>
      <c r="IE3" s="758"/>
      <c r="IF3" s="758"/>
      <c r="IG3" s="758"/>
      <c r="IH3" s="758"/>
      <c r="II3" s="758"/>
      <c r="IJ3" s="758"/>
      <c r="IK3" s="758"/>
      <c r="IL3" s="758"/>
      <c r="IM3" s="758"/>
      <c r="IN3" s="758"/>
      <c r="IO3" s="758"/>
      <c r="IP3" s="758"/>
      <c r="IQ3" s="758"/>
      <c r="IR3" s="758"/>
      <c r="IS3" s="758"/>
      <c r="IT3" s="758"/>
      <c r="IU3" s="758"/>
      <c r="IV3" s="758"/>
      <c r="IW3" s="758"/>
      <c r="IX3" s="758"/>
      <c r="IY3" s="758"/>
      <c r="IZ3" s="758"/>
      <c r="JA3" s="758"/>
      <c r="JB3" s="758"/>
      <c r="JC3" s="758"/>
      <c r="JD3" s="758"/>
      <c r="JE3" s="758"/>
      <c r="JF3" s="758"/>
      <c r="JG3" s="758"/>
      <c r="JH3" s="758"/>
      <c r="JI3" s="758"/>
      <c r="JJ3" s="758"/>
      <c r="JK3" s="758"/>
      <c r="JL3" s="758"/>
      <c r="JM3" s="758"/>
      <c r="JN3" s="758"/>
      <c r="JO3" s="758"/>
      <c r="JP3" s="758"/>
      <c r="JQ3" s="758"/>
      <c r="JR3" s="758"/>
      <c r="JS3" s="758"/>
      <c r="JT3" s="758"/>
      <c r="JU3" s="758"/>
      <c r="JV3" s="758"/>
      <c r="JW3" s="758"/>
      <c r="JX3" s="758"/>
      <c r="JY3" s="758"/>
      <c r="JZ3" s="758"/>
      <c r="KA3" s="758"/>
      <c r="KB3" s="758"/>
      <c r="KC3" s="758"/>
      <c r="KD3" s="758"/>
      <c r="KE3" s="758"/>
      <c r="KF3" s="758"/>
      <c r="KG3" s="758"/>
      <c r="KH3" s="758"/>
      <c r="KI3" s="758"/>
      <c r="KJ3" s="758"/>
      <c r="KK3" s="758"/>
      <c r="KL3" s="758"/>
      <c r="KM3" s="758"/>
      <c r="KN3" s="758"/>
      <c r="KO3" s="758"/>
      <c r="KP3" s="758"/>
      <c r="KQ3" s="758"/>
      <c r="KR3" s="758"/>
      <c r="KS3" s="758"/>
      <c r="KT3" s="758"/>
      <c r="KU3" s="758"/>
      <c r="KV3" s="758"/>
      <c r="KW3" s="758"/>
      <c r="KX3" s="758"/>
      <c r="KY3" s="758"/>
      <c r="KZ3" s="758"/>
      <c r="LA3" s="758"/>
      <c r="LB3" s="758"/>
      <c r="LC3" s="758"/>
      <c r="LD3" s="758"/>
      <c r="LE3" s="758"/>
      <c r="LF3" s="758"/>
      <c r="LG3" s="758"/>
      <c r="LH3" s="758"/>
      <c r="LI3" s="758"/>
      <c r="LJ3" s="758"/>
      <c r="LK3" s="758"/>
      <c r="LL3" s="758"/>
      <c r="LM3" s="758"/>
      <c r="LN3" s="758"/>
      <c r="LO3" s="758"/>
      <c r="LP3" s="758"/>
      <c r="LQ3" s="758"/>
      <c r="LR3" s="758"/>
      <c r="LS3" s="758"/>
      <c r="LT3" s="758"/>
      <c r="LU3" s="758"/>
      <c r="LV3" s="758"/>
      <c r="LW3" s="758"/>
      <c r="LX3" s="758"/>
      <c r="LY3" s="758"/>
      <c r="LZ3" s="758"/>
      <c r="MA3" s="758"/>
      <c r="MB3" s="758"/>
      <c r="MC3" s="758"/>
      <c r="MD3" s="758"/>
      <c r="ME3" s="758"/>
      <c r="MF3" s="758"/>
      <c r="MG3" s="758"/>
      <c r="MH3" s="758"/>
      <c r="MI3" s="758"/>
      <c r="MJ3" s="758"/>
      <c r="MK3" s="758"/>
      <c r="ML3" s="758"/>
      <c r="MM3" s="758"/>
      <c r="MN3" s="758"/>
      <c r="MO3" s="758"/>
      <c r="MP3" s="758"/>
      <c r="MQ3" s="758"/>
      <c r="MR3" s="758"/>
      <c r="MS3" s="758"/>
      <c r="MT3" s="758"/>
      <c r="MU3" s="758"/>
      <c r="MV3" s="758"/>
      <c r="MW3" s="758"/>
      <c r="MX3" s="758"/>
      <c r="MY3" s="758"/>
      <c r="MZ3" s="758"/>
      <c r="NA3" s="758"/>
      <c r="NB3" s="758"/>
      <c r="NC3" s="758"/>
      <c r="ND3" s="758"/>
      <c r="NE3" s="758"/>
    </row>
    <row r="4" spans="1:369" ht="12.75" customHeight="1">
      <c r="A4" s="644" t="s">
        <v>24</v>
      </c>
      <c r="B4" s="1346" t="s">
        <v>1240</v>
      </c>
      <c r="C4" s="248"/>
      <c r="D4" s="248"/>
      <c r="E4" s="248"/>
      <c r="F4" s="40" t="s">
        <v>40</v>
      </c>
      <c r="G4" s="1059" t="s">
        <v>1242</v>
      </c>
      <c r="H4" s="373"/>
      <c r="I4" s="374"/>
      <c r="J4" s="1063"/>
      <c r="K4" s="1065" t="s">
        <v>30</v>
      </c>
      <c r="L4" s="1069" t="s">
        <v>145</v>
      </c>
      <c r="M4" s="1070"/>
      <c r="N4" s="1070"/>
      <c r="O4" s="1070"/>
      <c r="P4" s="1070"/>
      <c r="Q4" s="1071"/>
      <c r="R4" s="773"/>
      <c r="S4" s="773"/>
      <c r="T4" s="1069" t="s">
        <v>991</v>
      </c>
      <c r="U4" s="1070"/>
      <c r="V4" s="1070"/>
      <c r="W4" s="1071"/>
      <c r="X4" s="1063"/>
      <c r="Y4" s="1063"/>
      <c r="Z4" s="1063"/>
      <c r="AA4" s="753"/>
      <c r="AB4" s="754"/>
      <c r="AC4" s="755"/>
      <c r="AD4" s="755"/>
      <c r="AE4" s="756"/>
      <c r="AF4" s="753"/>
      <c r="AG4" s="753"/>
      <c r="AH4" s="753"/>
      <c r="AI4" s="1001" t="s">
        <v>992</v>
      </c>
      <c r="AJ4" s="1002"/>
      <c r="AK4" s="1003"/>
      <c r="AL4" s="1003"/>
      <c r="AM4" s="1004"/>
      <c r="AN4" s="1005"/>
      <c r="AO4" s="1006"/>
      <c r="AP4" s="757"/>
      <c r="AQ4" s="753"/>
      <c r="AR4" s="753"/>
      <c r="AS4" s="753"/>
      <c r="AT4" s="753"/>
      <c r="AU4" s="753"/>
      <c r="AV4" s="753"/>
      <c r="AW4" s="753"/>
      <c r="AX4" s="753"/>
      <c r="AY4" s="753"/>
      <c r="AZ4" s="753"/>
      <c r="BA4" s="753"/>
      <c r="BB4" s="753"/>
      <c r="BC4" s="753"/>
      <c r="BD4" s="753"/>
      <c r="BE4" s="753"/>
      <c r="BF4" s="753"/>
      <c r="BG4" s="753"/>
      <c r="BH4" s="753"/>
      <c r="BI4" s="753"/>
      <c r="BJ4" s="753"/>
      <c r="BK4" s="753"/>
      <c r="BL4" s="753"/>
      <c r="BM4" s="753"/>
      <c r="BN4" s="753"/>
      <c r="BO4" s="753"/>
      <c r="BP4" s="753"/>
      <c r="BQ4" s="753"/>
      <c r="BR4" s="753"/>
      <c r="BS4" s="753"/>
      <c r="BT4" s="753"/>
      <c r="BU4" s="753"/>
      <c r="BV4" s="753"/>
      <c r="BW4" s="753"/>
      <c r="BX4" s="753"/>
      <c r="BY4" s="753"/>
      <c r="BZ4" s="753"/>
      <c r="CA4" s="753"/>
      <c r="CB4" s="753"/>
      <c r="CC4" s="753"/>
      <c r="CD4" s="753"/>
      <c r="CE4" s="753"/>
      <c r="CF4" s="753"/>
      <c r="CG4" s="753"/>
      <c r="CH4" s="753"/>
      <c r="CI4" s="753"/>
      <c r="CJ4" s="753"/>
      <c r="CK4" s="753"/>
      <c r="CL4" s="753"/>
      <c r="CM4" s="753"/>
      <c r="CN4" s="753"/>
      <c r="CO4" s="753"/>
      <c r="CP4" s="753"/>
      <c r="CQ4" s="753"/>
      <c r="CR4" s="753"/>
      <c r="CS4" s="753"/>
      <c r="CT4" s="753"/>
      <c r="CU4" s="753"/>
      <c r="CV4" s="753"/>
      <c r="CW4" s="753"/>
      <c r="CX4" s="753"/>
      <c r="CY4" s="753"/>
      <c r="CZ4" s="753"/>
      <c r="DA4" s="753"/>
      <c r="DB4" s="753"/>
      <c r="DC4" s="753"/>
      <c r="DD4" s="753"/>
      <c r="DE4" s="753"/>
      <c r="DF4" s="753"/>
      <c r="DG4" s="753"/>
      <c r="DH4" s="753"/>
      <c r="DI4" s="753"/>
      <c r="DJ4" s="753"/>
      <c r="DK4" s="753"/>
      <c r="DL4" s="753"/>
      <c r="DM4" s="753"/>
      <c r="DN4" s="776"/>
      <c r="DO4" s="758"/>
      <c r="DP4" s="758"/>
      <c r="DQ4" s="758"/>
      <c r="DR4" s="753"/>
      <c r="DS4" s="778"/>
      <c r="DT4" s="753"/>
      <c r="DU4" s="758"/>
      <c r="DV4" s="758"/>
      <c r="DW4" s="819"/>
      <c r="DX4" s="758"/>
      <c r="DY4" s="758"/>
      <c r="DZ4" s="758"/>
      <c r="EA4" s="758"/>
      <c r="EB4" s="758"/>
      <c r="EC4" s="758"/>
      <c r="ED4" s="758"/>
      <c r="EE4" s="758"/>
      <c r="EF4" s="758"/>
      <c r="EG4" s="758"/>
      <c r="EH4" s="758"/>
      <c r="EI4" s="758"/>
      <c r="EJ4" s="758"/>
      <c r="EK4" s="758"/>
      <c r="EL4" s="758"/>
      <c r="EM4" s="758"/>
      <c r="EN4" s="758"/>
      <c r="EO4" s="758"/>
      <c r="EP4" s="758"/>
      <c r="EQ4" s="758"/>
      <c r="ER4" s="758"/>
      <c r="ES4" s="758"/>
      <c r="ET4" s="758"/>
      <c r="EU4" s="758"/>
      <c r="EV4" s="758"/>
      <c r="EW4" s="758"/>
      <c r="EX4" s="758"/>
      <c r="EY4" s="758"/>
      <c r="EZ4" s="758"/>
      <c r="FA4" s="758"/>
      <c r="FB4" s="758"/>
      <c r="FC4" s="758"/>
      <c r="FD4" s="758"/>
      <c r="FE4" s="758"/>
      <c r="FF4" s="758"/>
      <c r="FG4" s="758"/>
      <c r="FH4" s="758"/>
      <c r="FI4" s="758"/>
      <c r="FJ4" s="758"/>
      <c r="FK4" s="758"/>
      <c r="FL4" s="758"/>
      <c r="FM4" s="758"/>
      <c r="FN4" s="758"/>
      <c r="FO4" s="758"/>
      <c r="FP4" s="758"/>
      <c r="FQ4" s="758"/>
      <c r="FR4" s="758"/>
      <c r="FS4" s="758"/>
      <c r="FT4" s="758"/>
      <c r="FU4" s="758"/>
      <c r="FV4" s="758"/>
      <c r="FW4" s="758"/>
      <c r="FX4" s="758"/>
      <c r="FY4" s="758"/>
      <c r="FZ4" s="758"/>
      <c r="GA4" s="758"/>
      <c r="GB4" s="758"/>
      <c r="GC4" s="758"/>
      <c r="GD4" s="758"/>
      <c r="GE4" s="758"/>
      <c r="GF4" s="758"/>
      <c r="GG4" s="758"/>
      <c r="GH4" s="758"/>
      <c r="GI4" s="758"/>
      <c r="GJ4" s="758"/>
      <c r="GK4" s="758"/>
      <c r="GL4" s="758"/>
      <c r="GM4" s="758"/>
      <c r="GN4" s="758"/>
      <c r="GO4" s="758"/>
      <c r="GP4" s="758"/>
      <c r="GQ4" s="758"/>
      <c r="GR4" s="758"/>
      <c r="GS4" s="758"/>
      <c r="GT4" s="758"/>
      <c r="GU4" s="758"/>
      <c r="GV4" s="758"/>
      <c r="GW4" s="758"/>
      <c r="GX4" s="758"/>
      <c r="GY4" s="758"/>
      <c r="GZ4" s="758"/>
      <c r="HA4" s="758"/>
      <c r="HB4" s="758"/>
      <c r="HC4" s="758"/>
      <c r="HD4" s="758"/>
      <c r="HE4" s="758"/>
      <c r="HF4" s="758"/>
      <c r="HG4" s="758"/>
      <c r="HH4" s="758"/>
      <c r="HI4" s="758"/>
      <c r="HJ4" s="758"/>
      <c r="HK4" s="758"/>
      <c r="HL4" s="758"/>
      <c r="HM4" s="758"/>
      <c r="HN4" s="758"/>
      <c r="HO4" s="758"/>
      <c r="HP4" s="758"/>
      <c r="HQ4" s="758"/>
      <c r="HR4" s="758"/>
      <c r="HS4" s="758"/>
      <c r="HT4" s="758"/>
      <c r="HU4" s="758"/>
      <c r="HV4" s="758"/>
      <c r="HW4" s="758"/>
      <c r="HX4" s="758"/>
      <c r="HY4" s="758"/>
      <c r="HZ4" s="758"/>
      <c r="IA4" s="758"/>
      <c r="IB4" s="758"/>
      <c r="IC4" s="758"/>
      <c r="ID4" s="758"/>
      <c r="IE4" s="758"/>
      <c r="IF4" s="758"/>
      <c r="IG4" s="758"/>
      <c r="IH4" s="758"/>
      <c r="II4" s="758"/>
      <c r="IJ4" s="758"/>
      <c r="IK4" s="758"/>
      <c r="IL4" s="758"/>
      <c r="IM4" s="758"/>
      <c r="IN4" s="758"/>
      <c r="IO4" s="758"/>
      <c r="IP4" s="758"/>
      <c r="IQ4" s="758"/>
      <c r="IR4" s="758"/>
      <c r="IS4" s="758"/>
      <c r="IT4" s="758"/>
      <c r="IU4" s="758"/>
      <c r="IV4" s="758"/>
      <c r="IW4" s="758"/>
      <c r="IX4" s="758"/>
      <c r="IY4" s="758"/>
      <c r="IZ4" s="758"/>
      <c r="JA4" s="758"/>
      <c r="JB4" s="758"/>
      <c r="JC4" s="758"/>
      <c r="JD4" s="758"/>
      <c r="JE4" s="758"/>
      <c r="JF4" s="758"/>
      <c r="JG4" s="758"/>
      <c r="JH4" s="758"/>
      <c r="JI4" s="758"/>
      <c r="JJ4" s="758"/>
      <c r="JK4" s="758"/>
      <c r="JL4" s="758"/>
      <c r="JM4" s="758"/>
      <c r="JN4" s="758"/>
      <c r="JO4" s="758"/>
      <c r="JP4" s="758"/>
      <c r="JQ4" s="758"/>
      <c r="JR4" s="758"/>
      <c r="JS4" s="758"/>
      <c r="JT4" s="758"/>
      <c r="JU4" s="758"/>
      <c r="JV4" s="758"/>
      <c r="JW4" s="758"/>
      <c r="JX4" s="758"/>
      <c r="JY4" s="758"/>
      <c r="JZ4" s="758"/>
      <c r="KA4" s="758"/>
      <c r="KB4" s="758"/>
      <c r="KC4" s="758"/>
      <c r="KD4" s="758"/>
      <c r="KE4" s="758"/>
      <c r="KF4" s="758"/>
      <c r="KG4" s="758"/>
      <c r="KH4" s="758"/>
      <c r="KI4" s="758"/>
      <c r="KJ4" s="758"/>
      <c r="KK4" s="758"/>
      <c r="KL4" s="758"/>
      <c r="KM4" s="758"/>
      <c r="KN4" s="758"/>
      <c r="KO4" s="758"/>
      <c r="KP4" s="758"/>
      <c r="KQ4" s="758"/>
      <c r="KR4" s="758"/>
      <c r="KS4" s="758"/>
      <c r="KT4" s="758"/>
      <c r="KU4" s="758"/>
      <c r="KV4" s="758"/>
      <c r="KW4" s="758"/>
      <c r="KX4" s="758"/>
      <c r="KY4" s="758"/>
      <c r="KZ4" s="758"/>
      <c r="LA4" s="758"/>
      <c r="LB4" s="758"/>
      <c r="LC4" s="758"/>
      <c r="LD4" s="758"/>
      <c r="LE4" s="758"/>
      <c r="LF4" s="758"/>
      <c r="LG4" s="758"/>
      <c r="LH4" s="758"/>
      <c r="LI4" s="758"/>
      <c r="LJ4" s="758"/>
      <c r="LK4" s="758"/>
      <c r="LL4" s="758"/>
      <c r="LM4" s="758"/>
      <c r="LN4" s="758"/>
      <c r="LO4" s="758"/>
      <c r="LP4" s="758"/>
      <c r="LQ4" s="758"/>
      <c r="LR4" s="758"/>
      <c r="LS4" s="758"/>
      <c r="LT4" s="758"/>
      <c r="LU4" s="758"/>
      <c r="LV4" s="758"/>
      <c r="LW4" s="758"/>
      <c r="LX4" s="758"/>
      <c r="LY4" s="758"/>
      <c r="LZ4" s="758"/>
      <c r="MA4" s="758"/>
      <c r="MB4" s="758"/>
      <c r="MC4" s="758"/>
      <c r="MD4" s="758"/>
      <c r="ME4" s="758"/>
      <c r="MF4" s="758"/>
      <c r="MG4" s="758"/>
      <c r="MH4" s="758"/>
      <c r="MI4" s="758"/>
      <c r="MJ4" s="758"/>
      <c r="MK4" s="758"/>
      <c r="ML4" s="758"/>
      <c r="MM4" s="758"/>
      <c r="MN4" s="758"/>
      <c r="MO4" s="758"/>
      <c r="MP4" s="758"/>
      <c r="MQ4" s="758"/>
      <c r="MR4" s="758"/>
      <c r="MS4" s="758"/>
      <c r="MT4" s="758"/>
      <c r="MU4" s="758"/>
      <c r="MV4" s="758"/>
      <c r="MW4" s="758"/>
      <c r="MX4" s="758"/>
      <c r="MY4" s="758"/>
      <c r="MZ4" s="758"/>
      <c r="NA4" s="758"/>
      <c r="NB4" s="758"/>
      <c r="NC4" s="758"/>
      <c r="ND4" s="758"/>
      <c r="NE4" s="758"/>
    </row>
    <row r="5" spans="1:369" ht="12.75" customHeight="1">
      <c r="A5" s="644" t="s">
        <v>26</v>
      </c>
      <c r="B5" s="1350" t="s">
        <v>1241</v>
      </c>
      <c r="C5" s="250"/>
      <c r="D5" s="250"/>
      <c r="E5" s="250"/>
      <c r="F5" s="6" t="s">
        <v>41</v>
      </c>
      <c r="G5" s="1348" t="s">
        <v>1243</v>
      </c>
      <c r="H5" s="6" t="s">
        <v>39</v>
      </c>
      <c r="I5" s="251"/>
      <c r="J5" s="1063"/>
      <c r="K5" s="1065" t="s">
        <v>27</v>
      </c>
      <c r="L5" s="1072" t="s">
        <v>37</v>
      </c>
      <c r="M5" s="1073" t="s">
        <v>69</v>
      </c>
      <c r="N5" s="1073" t="s">
        <v>70</v>
      </c>
      <c r="O5" s="1073" t="s">
        <v>71</v>
      </c>
      <c r="P5" s="1073" t="s">
        <v>72</v>
      </c>
      <c r="Q5" s="1073" t="s">
        <v>73</v>
      </c>
      <c r="R5" s="1061" t="s">
        <v>56</v>
      </c>
      <c r="S5" s="1061"/>
      <c r="T5" s="1069" t="s">
        <v>993</v>
      </c>
      <c r="U5" s="1071"/>
      <c r="V5" s="1074" t="s">
        <v>994</v>
      </c>
      <c r="W5" s="1074" t="s">
        <v>995</v>
      </c>
      <c r="X5" s="1063"/>
      <c r="Y5" s="1061"/>
      <c r="Z5" s="1061"/>
      <c r="AA5" s="753"/>
      <c r="AB5" s="754" t="s">
        <v>491</v>
      </c>
      <c r="AC5" s="755"/>
      <c r="AD5" s="755"/>
      <c r="AE5" s="756"/>
      <c r="AF5" s="753"/>
      <c r="AG5" s="753"/>
      <c r="AH5" s="753"/>
      <c r="AI5" s="1007"/>
      <c r="AJ5" s="1008" t="s">
        <v>996</v>
      </c>
      <c r="AK5" s="1009"/>
      <c r="AL5" s="1009"/>
      <c r="AM5" s="1010"/>
      <c r="AN5" s="1011">
        <v>1</v>
      </c>
      <c r="AO5" s="1012">
        <v>1.5</v>
      </c>
      <c r="AP5" s="757"/>
      <c r="AQ5" s="753"/>
      <c r="AR5" s="753"/>
      <c r="AS5" s="753"/>
      <c r="AT5" s="753"/>
      <c r="AU5" s="753"/>
      <c r="AV5" s="753"/>
      <c r="AW5" s="753"/>
      <c r="AX5" s="753"/>
      <c r="AY5" s="753"/>
      <c r="AZ5" s="753"/>
      <c r="BA5" s="753"/>
      <c r="BB5" s="753"/>
      <c r="BC5" s="753"/>
      <c r="BD5" s="753"/>
      <c r="BE5" s="753"/>
      <c r="BF5" s="753"/>
      <c r="BG5" s="753"/>
      <c r="BH5" s="753"/>
      <c r="BI5" s="753"/>
      <c r="BJ5" s="753"/>
      <c r="BK5" s="753"/>
      <c r="BL5" s="753"/>
      <c r="BM5" s="753"/>
      <c r="BN5" s="753"/>
      <c r="BO5" s="753"/>
      <c r="BP5" s="753"/>
      <c r="BQ5" s="753"/>
      <c r="BR5" s="753"/>
      <c r="BS5" s="753"/>
      <c r="BT5" s="753"/>
      <c r="BU5" s="753"/>
      <c r="BV5" s="753"/>
      <c r="BW5" s="753"/>
      <c r="BX5" s="753"/>
      <c r="BY5" s="753"/>
      <c r="BZ5" s="753"/>
      <c r="CA5" s="753"/>
      <c r="CB5" s="753"/>
      <c r="CC5" s="753"/>
      <c r="CD5" s="753"/>
      <c r="CE5" s="753"/>
      <c r="CF5" s="753"/>
      <c r="CG5" s="753"/>
      <c r="CH5" s="753"/>
      <c r="CI5" s="753"/>
      <c r="CJ5" s="753"/>
      <c r="CK5" s="753"/>
      <c r="CL5" s="753"/>
      <c r="CM5" s="753"/>
      <c r="CN5" s="757"/>
      <c r="CO5" s="757"/>
      <c r="CP5" s="757"/>
      <c r="CQ5" s="757"/>
      <c r="CR5" s="757"/>
      <c r="CS5" s="757"/>
      <c r="CT5" s="757"/>
      <c r="CU5" s="757"/>
      <c r="CV5" s="757"/>
      <c r="CW5" s="757"/>
      <c r="CX5" s="757"/>
      <c r="CY5" s="757"/>
      <c r="CZ5" s="757"/>
      <c r="DA5" s="757"/>
      <c r="DB5" s="757"/>
      <c r="DC5" s="757"/>
      <c r="DD5" s="757"/>
      <c r="DE5" s="757"/>
      <c r="DF5" s="757"/>
      <c r="DG5" s="757"/>
      <c r="DH5" s="757"/>
      <c r="DI5" s="757"/>
      <c r="DJ5" s="757"/>
      <c r="DK5" s="757"/>
      <c r="DL5" s="757"/>
      <c r="DM5" s="753"/>
      <c r="DN5" s="776"/>
      <c r="DO5" s="758"/>
      <c r="DP5" s="758"/>
      <c r="DQ5" s="758"/>
      <c r="DR5" s="753"/>
      <c r="DS5" s="778"/>
      <c r="DT5" s="753"/>
      <c r="DU5" s="758"/>
      <c r="DV5" s="758"/>
      <c r="DW5" s="819"/>
      <c r="DX5" s="758"/>
      <c r="DY5" s="758"/>
      <c r="DZ5" s="758"/>
      <c r="EA5" s="758"/>
      <c r="EB5" s="758"/>
      <c r="EC5" s="758"/>
      <c r="ED5" s="758"/>
      <c r="EE5" s="758"/>
      <c r="EF5" s="758"/>
      <c r="EG5" s="758"/>
      <c r="EH5" s="758"/>
      <c r="EI5" s="758"/>
      <c r="EJ5" s="758"/>
      <c r="EK5" s="758"/>
      <c r="EL5" s="758"/>
      <c r="EM5" s="758"/>
      <c r="EN5" s="758"/>
      <c r="EO5" s="758"/>
      <c r="EP5" s="758"/>
      <c r="EQ5" s="758"/>
      <c r="ER5" s="758"/>
      <c r="ES5" s="758"/>
      <c r="ET5" s="758"/>
      <c r="EU5" s="758"/>
      <c r="EV5" s="758"/>
      <c r="EW5" s="758"/>
      <c r="EX5" s="758"/>
      <c r="EY5" s="758"/>
      <c r="EZ5" s="758"/>
      <c r="FA5" s="758"/>
      <c r="FB5" s="758"/>
      <c r="FC5" s="758"/>
      <c r="FD5" s="758"/>
      <c r="FE5" s="758"/>
      <c r="FF5" s="758"/>
      <c r="FG5" s="758"/>
      <c r="FH5" s="758"/>
      <c r="FI5" s="758"/>
      <c r="FJ5" s="758"/>
      <c r="FK5" s="758"/>
      <c r="FL5" s="758"/>
      <c r="FM5" s="758"/>
      <c r="FN5" s="758"/>
      <c r="FO5" s="758"/>
      <c r="FP5" s="758"/>
      <c r="FQ5" s="758"/>
      <c r="FR5" s="758"/>
      <c r="FS5" s="758"/>
      <c r="FT5" s="758"/>
      <c r="FU5" s="758"/>
      <c r="FV5" s="758"/>
      <c r="FW5" s="758"/>
      <c r="FX5" s="758"/>
      <c r="FY5" s="758"/>
      <c r="FZ5" s="758"/>
      <c r="GA5" s="758"/>
      <c r="GB5" s="758"/>
      <c r="GC5" s="758"/>
      <c r="GD5" s="758"/>
      <c r="GE5" s="758"/>
      <c r="GF5" s="758"/>
      <c r="GG5" s="758"/>
      <c r="GH5" s="758"/>
      <c r="GI5" s="758"/>
      <c r="GJ5" s="758"/>
      <c r="GK5" s="758"/>
      <c r="GL5" s="758"/>
      <c r="GM5" s="758"/>
      <c r="GN5" s="758"/>
      <c r="GO5" s="758"/>
      <c r="GP5" s="758"/>
      <c r="GQ5" s="758"/>
      <c r="GR5" s="758"/>
      <c r="GS5" s="758"/>
      <c r="GT5" s="758"/>
      <c r="GU5" s="758"/>
      <c r="GV5" s="758"/>
      <c r="GW5" s="758"/>
      <c r="GX5" s="758"/>
      <c r="GY5" s="758"/>
      <c r="GZ5" s="758"/>
      <c r="HA5" s="758"/>
      <c r="HB5" s="758"/>
      <c r="HC5" s="758"/>
      <c r="HD5" s="758"/>
      <c r="HE5" s="758"/>
      <c r="HF5" s="758"/>
      <c r="HG5" s="758"/>
      <c r="HH5" s="758"/>
      <c r="HI5" s="758"/>
      <c r="HJ5" s="758"/>
      <c r="HK5" s="758"/>
      <c r="HL5" s="758"/>
      <c r="HM5" s="758"/>
      <c r="HN5" s="758"/>
      <c r="HO5" s="758"/>
      <c r="HP5" s="758"/>
      <c r="HQ5" s="758"/>
      <c r="HR5" s="758"/>
      <c r="HS5" s="758"/>
      <c r="HT5" s="758"/>
      <c r="HU5" s="758"/>
      <c r="HV5" s="758"/>
      <c r="HW5" s="758"/>
      <c r="HX5" s="758"/>
      <c r="HY5" s="758"/>
      <c r="HZ5" s="758"/>
      <c r="IA5" s="758"/>
      <c r="IB5" s="758"/>
      <c r="IC5" s="758"/>
      <c r="ID5" s="758"/>
      <c r="IE5" s="758"/>
      <c r="IF5" s="758"/>
      <c r="IG5" s="758"/>
      <c r="IH5" s="758"/>
      <c r="II5" s="758"/>
      <c r="IJ5" s="758"/>
      <c r="IK5" s="758"/>
      <c r="IL5" s="758"/>
      <c r="IM5" s="758"/>
      <c r="IN5" s="758"/>
      <c r="IO5" s="758"/>
      <c r="IP5" s="758"/>
      <c r="IQ5" s="758"/>
      <c r="IR5" s="758"/>
      <c r="IS5" s="758"/>
      <c r="IT5" s="758"/>
      <c r="IU5" s="758"/>
      <c r="IV5" s="758"/>
      <c r="IW5" s="758"/>
      <c r="IX5" s="758"/>
      <c r="IY5" s="758"/>
      <c r="IZ5" s="758"/>
      <c r="JA5" s="758"/>
      <c r="JB5" s="758"/>
      <c r="JC5" s="758"/>
      <c r="JD5" s="758"/>
      <c r="JE5" s="758"/>
      <c r="JF5" s="758"/>
      <c r="JG5" s="758"/>
      <c r="JH5" s="758"/>
      <c r="JI5" s="758"/>
      <c r="JJ5" s="758"/>
      <c r="JK5" s="758"/>
      <c r="JL5" s="758"/>
      <c r="JM5" s="758"/>
      <c r="JN5" s="758"/>
      <c r="JO5" s="758"/>
      <c r="JP5" s="758"/>
      <c r="JQ5" s="758"/>
      <c r="JR5" s="758"/>
      <c r="JS5" s="758"/>
      <c r="JT5" s="758"/>
      <c r="JU5" s="758"/>
      <c r="JV5" s="758"/>
      <c r="JW5" s="758"/>
      <c r="JX5" s="758"/>
      <c r="JY5" s="758"/>
      <c r="JZ5" s="758"/>
      <c r="KA5" s="758"/>
      <c r="KB5" s="758"/>
      <c r="KC5" s="758"/>
      <c r="KD5" s="758"/>
      <c r="KE5" s="758"/>
      <c r="KF5" s="758"/>
      <c r="KG5" s="758"/>
      <c r="KH5" s="758"/>
      <c r="KI5" s="758"/>
      <c r="KJ5" s="758"/>
      <c r="KK5" s="758"/>
      <c r="KL5" s="758"/>
      <c r="KM5" s="758"/>
      <c r="KN5" s="758"/>
      <c r="KO5" s="758"/>
      <c r="KP5" s="758"/>
      <c r="KQ5" s="758"/>
      <c r="KR5" s="758"/>
      <c r="KS5" s="758"/>
      <c r="KT5" s="758"/>
      <c r="KU5" s="758"/>
      <c r="KV5" s="758"/>
      <c r="KW5" s="758"/>
      <c r="KX5" s="758"/>
      <c r="KY5" s="758"/>
      <c r="KZ5" s="758"/>
      <c r="LA5" s="758"/>
      <c r="LB5" s="758"/>
      <c r="LC5" s="758"/>
      <c r="LD5" s="758"/>
      <c r="LE5" s="758"/>
      <c r="LF5" s="758"/>
      <c r="LG5" s="758"/>
      <c r="LH5" s="758"/>
      <c r="LI5" s="758"/>
      <c r="LJ5" s="758"/>
      <c r="LK5" s="758"/>
      <c r="LL5" s="758"/>
      <c r="LM5" s="758"/>
      <c r="LN5" s="758"/>
      <c r="LO5" s="758"/>
      <c r="LP5" s="758"/>
      <c r="LQ5" s="758"/>
      <c r="LR5" s="758"/>
      <c r="LS5" s="758"/>
      <c r="LT5" s="758"/>
      <c r="LU5" s="758"/>
      <c r="LV5" s="758"/>
      <c r="LW5" s="758"/>
      <c r="LX5" s="758"/>
      <c r="LY5" s="758"/>
      <c r="LZ5" s="758"/>
      <c r="MA5" s="758"/>
      <c r="MB5" s="758"/>
      <c r="MC5" s="758"/>
      <c r="MD5" s="758"/>
      <c r="ME5" s="758"/>
      <c r="MF5" s="758"/>
      <c r="MG5" s="758"/>
      <c r="MH5" s="758"/>
      <c r="MI5" s="758"/>
      <c r="MJ5" s="758"/>
      <c r="MK5" s="758"/>
      <c r="ML5" s="758"/>
      <c r="MM5" s="758"/>
      <c r="MN5" s="758"/>
      <c r="MO5" s="758"/>
      <c r="MP5" s="758"/>
      <c r="MQ5" s="758"/>
      <c r="MR5" s="758"/>
      <c r="MS5" s="758"/>
      <c r="MT5" s="758"/>
      <c r="MU5" s="758"/>
      <c r="MV5" s="758"/>
      <c r="MW5" s="758"/>
      <c r="MX5" s="758"/>
      <c r="MY5" s="758"/>
      <c r="MZ5" s="758"/>
      <c r="NA5" s="758"/>
      <c r="NB5" s="758"/>
      <c r="NC5" s="758"/>
      <c r="ND5" s="758"/>
      <c r="NE5" s="758"/>
    </row>
    <row r="6" spans="1:369" ht="12.75" customHeight="1">
      <c r="A6" s="853"/>
      <c r="B6" s="753"/>
      <c r="C6" s="33"/>
      <c r="D6" s="753"/>
      <c r="E6" s="753"/>
      <c r="F6" s="753"/>
      <c r="G6" s="1255"/>
      <c r="H6" s="769"/>
      <c r="I6" s="1256"/>
      <c r="J6" s="808"/>
      <c r="K6" s="1065" t="s">
        <v>34</v>
      </c>
      <c r="L6" s="1075" t="s">
        <v>29</v>
      </c>
      <c r="M6" s="1075">
        <v>0.8</v>
      </c>
      <c r="N6" s="1075">
        <v>0.8</v>
      </c>
      <c r="O6" s="1075">
        <v>0.8</v>
      </c>
      <c r="P6" s="1075">
        <v>0.8</v>
      </c>
      <c r="Q6" s="1075">
        <v>0.8</v>
      </c>
      <c r="R6" s="1076">
        <v>0.8</v>
      </c>
      <c r="S6" s="1076"/>
      <c r="T6" s="1077" t="s">
        <v>997</v>
      </c>
      <c r="U6" s="1078" t="s">
        <v>998</v>
      </c>
      <c r="V6" s="1079">
        <v>1</v>
      </c>
      <c r="W6" s="1079">
        <v>1.5</v>
      </c>
      <c r="X6" s="1080"/>
      <c r="Y6" s="1076"/>
      <c r="Z6" s="1076"/>
      <c r="AA6" s="757"/>
      <c r="AB6" s="1419" t="s">
        <v>575</v>
      </c>
      <c r="AC6" s="1419"/>
      <c r="AD6" s="1419"/>
      <c r="AE6" s="1419"/>
      <c r="AF6" s="753"/>
      <c r="AG6" s="753"/>
      <c r="AH6" s="757"/>
      <c r="AI6" s="1013"/>
      <c r="AJ6" s="1014" t="s">
        <v>999</v>
      </c>
      <c r="AK6" s="1015"/>
      <c r="AL6" s="1015"/>
      <c r="AM6" s="1016"/>
      <c r="AN6" s="1017">
        <v>1</v>
      </c>
      <c r="AO6" s="1018">
        <v>2.5</v>
      </c>
      <c r="AP6" s="757"/>
      <c r="AQ6" s="757"/>
      <c r="AR6" s="757"/>
      <c r="AS6" s="757"/>
      <c r="AT6" s="757"/>
      <c r="AU6" s="757"/>
      <c r="AV6" s="757"/>
      <c r="AW6" s="757"/>
      <c r="AX6" s="757"/>
      <c r="AY6" s="757"/>
      <c r="AZ6" s="757"/>
      <c r="BA6" s="757"/>
      <c r="BB6" s="757"/>
      <c r="BC6" s="757"/>
      <c r="BD6" s="757"/>
      <c r="BE6" s="757"/>
      <c r="BF6" s="757"/>
      <c r="BG6" s="757"/>
      <c r="BH6" s="757"/>
      <c r="BI6" s="757"/>
      <c r="BJ6" s="757"/>
      <c r="BK6" s="757"/>
      <c r="BL6" s="757"/>
      <c r="BM6" s="757"/>
      <c r="BN6" s="757"/>
      <c r="BO6" s="757"/>
      <c r="BP6" s="757"/>
      <c r="BQ6" s="757"/>
      <c r="BR6" s="757"/>
      <c r="BS6" s="757"/>
      <c r="BT6" s="757"/>
      <c r="BU6" s="757"/>
      <c r="BV6" s="757"/>
      <c r="BW6" s="757"/>
      <c r="BX6" s="757"/>
      <c r="BY6" s="757"/>
      <c r="BZ6" s="757"/>
      <c r="CA6" s="757"/>
      <c r="CB6" s="757"/>
      <c r="CC6" s="757"/>
      <c r="CD6" s="757"/>
      <c r="CE6" s="757"/>
      <c r="CF6" s="757"/>
      <c r="CG6" s="757"/>
      <c r="CH6" s="757"/>
      <c r="CI6" s="757"/>
      <c r="CJ6" s="757"/>
      <c r="CK6" s="757"/>
      <c r="CL6" s="757"/>
      <c r="CM6" s="757"/>
      <c r="CN6" s="757"/>
      <c r="CO6" s="757"/>
      <c r="CP6" s="757"/>
      <c r="CQ6" s="757"/>
      <c r="CR6" s="757"/>
      <c r="CS6" s="757"/>
      <c r="CT6" s="757"/>
      <c r="CU6" s="757"/>
      <c r="CV6" s="757"/>
      <c r="CW6" s="757"/>
      <c r="CX6" s="757"/>
      <c r="CY6" s="757"/>
      <c r="CZ6" s="757"/>
      <c r="DA6" s="757"/>
      <c r="DB6" s="757"/>
      <c r="DC6" s="757"/>
      <c r="DD6" s="757"/>
      <c r="DE6" s="757"/>
      <c r="DF6" s="757"/>
      <c r="DG6" s="757"/>
      <c r="DH6" s="757"/>
      <c r="DI6" s="757"/>
      <c r="DJ6" s="757"/>
      <c r="DK6" s="757"/>
      <c r="DL6" s="757"/>
      <c r="DM6" s="757"/>
      <c r="DN6" s="776"/>
      <c r="DO6" s="758"/>
      <c r="DP6" s="758"/>
      <c r="DQ6" s="758"/>
      <c r="DR6" s="753"/>
      <c r="DS6" s="811"/>
      <c r="DT6" s="758"/>
      <c r="DU6" s="758"/>
      <c r="DV6" s="758"/>
      <c r="DW6" s="758"/>
      <c r="DX6" s="758"/>
      <c r="DY6" s="758"/>
      <c r="DZ6" s="758"/>
      <c r="EA6" s="758"/>
      <c r="EB6" s="758"/>
      <c r="EC6" s="758"/>
      <c r="ED6" s="758"/>
      <c r="EE6" s="758"/>
      <c r="EF6" s="758"/>
      <c r="EG6" s="758"/>
      <c r="EH6" s="758"/>
      <c r="EI6" s="758"/>
      <c r="EJ6" s="758"/>
      <c r="EK6" s="758"/>
      <c r="EL6" s="758"/>
      <c r="EM6" s="758"/>
      <c r="EN6" s="758"/>
      <c r="EO6" s="758"/>
      <c r="EP6" s="758"/>
      <c r="EQ6" s="758"/>
      <c r="ER6" s="758"/>
      <c r="ES6" s="758"/>
      <c r="ET6" s="758"/>
      <c r="EU6" s="758"/>
      <c r="EV6" s="758"/>
      <c r="EW6" s="758"/>
      <c r="EX6" s="758"/>
      <c r="EY6" s="758"/>
      <c r="EZ6" s="758"/>
      <c r="FA6" s="758"/>
      <c r="FB6" s="758"/>
      <c r="FC6" s="758"/>
      <c r="FD6" s="758"/>
      <c r="FE6" s="758"/>
      <c r="FF6" s="758"/>
      <c r="FG6" s="758"/>
      <c r="FH6" s="758"/>
      <c r="FI6" s="758"/>
      <c r="FJ6" s="758"/>
      <c r="FK6" s="758"/>
      <c r="FL6" s="758"/>
      <c r="FM6" s="758"/>
      <c r="FN6" s="758"/>
      <c r="FO6" s="758"/>
      <c r="FP6" s="758"/>
      <c r="FQ6" s="758"/>
      <c r="FR6" s="758"/>
      <c r="FS6" s="758"/>
      <c r="FT6" s="758"/>
      <c r="FU6" s="758"/>
      <c r="FV6" s="758"/>
      <c r="FW6" s="758"/>
      <c r="FX6" s="758"/>
      <c r="FY6" s="758"/>
      <c r="FZ6" s="758"/>
      <c r="GA6" s="758"/>
      <c r="GB6" s="758"/>
      <c r="GC6" s="758"/>
      <c r="GD6" s="758"/>
      <c r="GE6" s="758"/>
      <c r="GF6" s="758"/>
      <c r="GG6" s="758"/>
      <c r="GH6" s="758"/>
      <c r="GI6" s="758"/>
      <c r="GJ6" s="758"/>
      <c r="GK6" s="758"/>
      <c r="GL6" s="758"/>
      <c r="GM6" s="758"/>
      <c r="GN6" s="758"/>
      <c r="GO6" s="758"/>
      <c r="GP6" s="758"/>
      <c r="GQ6" s="758"/>
      <c r="GR6" s="758"/>
      <c r="GS6" s="758"/>
      <c r="GT6" s="758"/>
      <c r="GU6" s="758"/>
      <c r="GV6" s="758"/>
      <c r="GW6" s="758"/>
      <c r="GX6" s="758"/>
      <c r="GY6" s="758"/>
      <c r="GZ6" s="758"/>
      <c r="HA6" s="758"/>
      <c r="HB6" s="758"/>
      <c r="HC6" s="758"/>
      <c r="HD6" s="758"/>
      <c r="HE6" s="758"/>
      <c r="HF6" s="758"/>
      <c r="HG6" s="758"/>
      <c r="HH6" s="758"/>
      <c r="HI6" s="758"/>
      <c r="HJ6" s="758"/>
      <c r="HK6" s="758"/>
      <c r="HL6" s="758"/>
      <c r="HM6" s="758"/>
      <c r="HN6" s="758"/>
      <c r="HO6" s="758"/>
      <c r="HP6" s="758"/>
      <c r="HQ6" s="758"/>
      <c r="HR6" s="758"/>
      <c r="HS6" s="758"/>
      <c r="HT6" s="758"/>
      <c r="HU6" s="758"/>
      <c r="HV6" s="758"/>
      <c r="HW6" s="758"/>
      <c r="HX6" s="758"/>
      <c r="HY6" s="758"/>
      <c r="HZ6" s="758"/>
      <c r="IA6" s="758"/>
      <c r="IB6" s="758"/>
      <c r="IC6" s="758"/>
      <c r="ID6" s="758"/>
      <c r="IE6" s="758"/>
      <c r="IF6" s="758"/>
      <c r="IG6" s="758"/>
      <c r="IH6" s="758"/>
      <c r="II6" s="758"/>
      <c r="IJ6" s="758"/>
      <c r="IK6" s="758"/>
      <c r="IL6" s="758"/>
      <c r="IM6" s="758"/>
      <c r="IN6" s="758"/>
      <c r="IO6" s="758"/>
      <c r="IP6" s="758"/>
      <c r="IQ6" s="758"/>
      <c r="IR6" s="758"/>
      <c r="IS6" s="758"/>
      <c r="IT6" s="758"/>
      <c r="IU6" s="758"/>
      <c r="IV6" s="758"/>
      <c r="IW6" s="758"/>
      <c r="IX6" s="758"/>
      <c r="IY6" s="758"/>
      <c r="IZ6" s="758"/>
      <c r="JA6" s="758"/>
      <c r="JB6" s="758"/>
      <c r="JC6" s="758"/>
      <c r="JD6" s="758"/>
      <c r="JE6" s="758"/>
      <c r="JF6" s="758"/>
      <c r="JG6" s="758"/>
      <c r="JH6" s="758"/>
      <c r="JI6" s="758"/>
      <c r="JJ6" s="758"/>
      <c r="JK6" s="758"/>
      <c r="JL6" s="758"/>
      <c r="JM6" s="758"/>
      <c r="JN6" s="758"/>
      <c r="JO6" s="758"/>
      <c r="JP6" s="758"/>
      <c r="JQ6" s="758"/>
      <c r="JR6" s="758"/>
      <c r="JS6" s="758"/>
      <c r="JT6" s="758"/>
      <c r="JU6" s="758"/>
      <c r="JV6" s="758"/>
      <c r="JW6" s="758"/>
      <c r="JX6" s="758"/>
      <c r="JY6" s="758"/>
      <c r="JZ6" s="758"/>
      <c r="KA6" s="758"/>
      <c r="KB6" s="758"/>
      <c r="KC6" s="758"/>
      <c r="KD6" s="758"/>
      <c r="KE6" s="758"/>
      <c r="KF6" s="758"/>
      <c r="KG6" s="758"/>
      <c r="KH6" s="758"/>
      <c r="KI6" s="758"/>
      <c r="KJ6" s="758"/>
      <c r="KK6" s="758"/>
      <c r="KL6" s="758"/>
      <c r="KM6" s="758"/>
      <c r="KN6" s="758"/>
      <c r="KO6" s="758"/>
      <c r="KP6" s="758"/>
      <c r="KQ6" s="758"/>
      <c r="KR6" s="758"/>
      <c r="KS6" s="758"/>
      <c r="KT6" s="758"/>
      <c r="KU6" s="758"/>
      <c r="KV6" s="758"/>
      <c r="KW6" s="758"/>
      <c r="KX6" s="758"/>
      <c r="KY6" s="758"/>
      <c r="KZ6" s="758"/>
      <c r="LA6" s="758"/>
      <c r="LB6" s="758"/>
      <c r="LC6" s="758"/>
      <c r="LD6" s="758"/>
      <c r="LE6" s="758"/>
      <c r="LF6" s="758"/>
      <c r="LG6" s="758"/>
      <c r="LH6" s="758"/>
      <c r="LI6" s="758"/>
      <c r="LJ6" s="758"/>
      <c r="LK6" s="758"/>
      <c r="LL6" s="758"/>
      <c r="LM6" s="758"/>
      <c r="LN6" s="758"/>
      <c r="LO6" s="758"/>
      <c r="LP6" s="758"/>
      <c r="LQ6" s="758"/>
      <c r="LR6" s="758"/>
      <c r="LS6" s="758"/>
      <c r="LT6" s="758"/>
      <c r="LU6" s="758"/>
      <c r="LV6" s="758"/>
      <c r="LW6" s="758"/>
      <c r="LX6" s="758"/>
      <c r="LY6" s="758"/>
      <c r="LZ6" s="758"/>
      <c r="MA6" s="758"/>
      <c r="MB6" s="758"/>
      <c r="MC6" s="758"/>
      <c r="MD6" s="758"/>
      <c r="ME6" s="758"/>
      <c r="MF6" s="758"/>
      <c r="MG6" s="758"/>
      <c r="MH6" s="758"/>
      <c r="MI6" s="758"/>
      <c r="MJ6" s="758"/>
      <c r="MK6" s="758"/>
      <c r="ML6" s="758"/>
      <c r="MM6" s="758"/>
      <c r="MN6" s="758"/>
      <c r="MO6" s="758"/>
      <c r="MP6" s="758"/>
      <c r="MQ6" s="758"/>
      <c r="MR6" s="758"/>
      <c r="MS6" s="758"/>
      <c r="MT6" s="758"/>
      <c r="MU6" s="758"/>
      <c r="MV6" s="758"/>
      <c r="MW6" s="758"/>
      <c r="MX6" s="758"/>
      <c r="MY6" s="758"/>
      <c r="MZ6" s="758"/>
      <c r="NA6" s="758"/>
      <c r="NB6" s="758"/>
      <c r="NC6" s="758"/>
      <c r="ND6" s="758"/>
      <c r="NE6" s="758"/>
    </row>
    <row r="7" spans="1:369" ht="12.75" customHeight="1">
      <c r="A7" s="854" t="s">
        <v>57</v>
      </c>
      <c r="B7" s="753"/>
      <c r="C7" s="33"/>
      <c r="D7" s="811"/>
      <c r="E7" s="1257"/>
      <c r="F7" s="753"/>
      <c r="G7" s="753"/>
      <c r="H7" s="753"/>
      <c r="I7" s="1258"/>
      <c r="J7" s="1081"/>
      <c r="K7" s="1076">
        <v>1</v>
      </c>
      <c r="L7" s="1082" t="s">
        <v>31</v>
      </c>
      <c r="M7" s="1082">
        <v>1</v>
      </c>
      <c r="N7" s="1082">
        <v>1</v>
      </c>
      <c r="O7" s="1082">
        <v>1</v>
      </c>
      <c r="P7" s="1082">
        <v>1</v>
      </c>
      <c r="Q7" s="1082">
        <v>1</v>
      </c>
      <c r="R7" s="1083">
        <v>1</v>
      </c>
      <c r="S7" s="1083"/>
      <c r="T7" s="1084" t="s">
        <v>1000</v>
      </c>
      <c r="U7" s="1085" t="s">
        <v>1001</v>
      </c>
      <c r="V7" s="1086">
        <v>1</v>
      </c>
      <c r="W7" s="1086">
        <v>2.5</v>
      </c>
      <c r="X7" s="1063"/>
      <c r="Y7" s="1080"/>
      <c r="Z7" s="1080"/>
      <c r="AA7" s="757"/>
      <c r="AB7" s="757"/>
      <c r="AC7" s="757"/>
      <c r="AD7" s="757"/>
      <c r="AE7" s="757"/>
      <c r="AF7" s="757"/>
      <c r="AG7" s="757"/>
      <c r="AH7" s="757"/>
      <c r="AI7" s="1001" t="s">
        <v>1002</v>
      </c>
      <c r="AJ7" s="1002"/>
      <c r="AK7" s="1003"/>
      <c r="AL7" s="1003"/>
      <c r="AM7" s="1004"/>
      <c r="AN7" s="1005"/>
      <c r="AO7" s="1006"/>
      <c r="AP7" s="757"/>
      <c r="AQ7" s="757"/>
      <c r="AR7" s="757"/>
      <c r="AS7" s="757"/>
      <c r="AT7" s="757"/>
      <c r="AU7" s="757"/>
      <c r="AV7" s="757"/>
      <c r="AW7" s="757"/>
      <c r="AX7" s="757"/>
      <c r="AY7" s="757"/>
      <c r="AZ7" s="757"/>
      <c r="BA7" s="757"/>
      <c r="BB7" s="757"/>
      <c r="BC7" s="757"/>
      <c r="BD7" s="757"/>
      <c r="BE7" s="757"/>
      <c r="BF7" s="757"/>
      <c r="BG7" s="757"/>
      <c r="BH7" s="757"/>
      <c r="BI7" s="757"/>
      <c r="BJ7" s="757"/>
      <c r="BK7" s="757"/>
      <c r="BL7" s="757"/>
      <c r="BM7" s="757"/>
      <c r="BN7" s="757"/>
      <c r="BO7" s="757"/>
      <c r="BP7" s="757"/>
      <c r="BQ7" s="757"/>
      <c r="BR7" s="757"/>
      <c r="BS7" s="757"/>
      <c r="BT7" s="757"/>
      <c r="BU7" s="757"/>
      <c r="BV7" s="757"/>
      <c r="BW7" s="757"/>
      <c r="BX7" s="757"/>
      <c r="BY7" s="757"/>
      <c r="BZ7" s="757"/>
      <c r="CA7" s="757"/>
      <c r="CB7" s="757"/>
      <c r="CC7" s="757"/>
      <c r="CD7" s="757"/>
      <c r="CE7" s="757"/>
      <c r="CF7" s="757"/>
      <c r="CG7" s="757"/>
      <c r="CH7" s="757"/>
      <c r="CI7" s="757"/>
      <c r="CJ7" s="757"/>
      <c r="CK7" s="757"/>
      <c r="CL7" s="757"/>
      <c r="CM7" s="757"/>
      <c r="CN7" s="757"/>
      <c r="CO7" s="757"/>
      <c r="CP7" s="757"/>
      <c r="CQ7" s="757"/>
      <c r="CR7" s="757"/>
      <c r="CS7" s="757"/>
      <c r="CT7" s="757"/>
      <c r="CU7" s="757"/>
      <c r="CV7" s="757"/>
      <c r="CW7" s="757"/>
      <c r="CX7" s="757"/>
      <c r="CY7" s="757"/>
      <c r="CZ7" s="757"/>
      <c r="DA7" s="757"/>
      <c r="DB7" s="757"/>
      <c r="DC7" s="757"/>
      <c r="DD7" s="757"/>
      <c r="DE7" s="757"/>
      <c r="DF7" s="757"/>
      <c r="DG7" s="757"/>
      <c r="DH7" s="757"/>
      <c r="DI7" s="757"/>
      <c r="DJ7" s="757"/>
      <c r="DK7" s="757"/>
      <c r="DL7" s="757"/>
      <c r="DM7" s="757"/>
      <c r="DN7" s="776"/>
      <c r="DO7" s="758"/>
      <c r="DP7" s="758"/>
      <c r="DQ7" s="758"/>
      <c r="DR7" s="753"/>
      <c r="DS7" s="778"/>
      <c r="DT7" s="753"/>
      <c r="DU7" s="758"/>
      <c r="DV7" s="758"/>
      <c r="DW7" s="819"/>
      <c r="DX7" s="758"/>
      <c r="DY7" s="758"/>
      <c r="DZ7" s="758"/>
      <c r="EA7" s="758"/>
      <c r="EB7" s="758"/>
      <c r="EC7" s="758"/>
      <c r="ED7" s="758"/>
      <c r="EE7" s="758"/>
      <c r="EF7" s="758"/>
      <c r="EG7" s="758"/>
      <c r="EH7" s="758"/>
      <c r="EI7" s="758"/>
      <c r="EJ7" s="758"/>
      <c r="EK7" s="758"/>
      <c r="EL7" s="758"/>
      <c r="EM7" s="758"/>
      <c r="EN7" s="758"/>
      <c r="EO7" s="758"/>
      <c r="EP7" s="758"/>
      <c r="EQ7" s="758"/>
      <c r="ER7" s="758"/>
      <c r="ES7" s="758"/>
      <c r="ET7" s="758"/>
      <c r="EU7" s="758"/>
      <c r="EV7" s="758"/>
      <c r="EW7" s="758"/>
      <c r="EX7" s="758"/>
      <c r="EY7" s="758"/>
      <c r="EZ7" s="758"/>
      <c r="FA7" s="758"/>
      <c r="FB7" s="758"/>
      <c r="FC7" s="758"/>
      <c r="FD7" s="758"/>
      <c r="FE7" s="758"/>
      <c r="FF7" s="758"/>
      <c r="FG7" s="758"/>
      <c r="FH7" s="758"/>
      <c r="FI7" s="758"/>
      <c r="FJ7" s="758"/>
      <c r="FK7" s="758"/>
      <c r="FL7" s="758"/>
      <c r="FM7" s="758"/>
      <c r="FN7" s="758"/>
      <c r="FO7" s="758"/>
      <c r="FP7" s="758"/>
      <c r="FQ7" s="758"/>
      <c r="FR7" s="758"/>
      <c r="FS7" s="758"/>
      <c r="FT7" s="758"/>
      <c r="FU7" s="758"/>
      <c r="FV7" s="758"/>
      <c r="FW7" s="758"/>
      <c r="FX7" s="758"/>
      <c r="FY7" s="758"/>
      <c r="FZ7" s="758"/>
      <c r="GA7" s="758"/>
      <c r="GB7" s="758"/>
      <c r="GC7" s="758"/>
      <c r="GD7" s="758"/>
      <c r="GE7" s="758"/>
      <c r="GF7" s="758"/>
      <c r="GG7" s="758"/>
      <c r="GH7" s="758"/>
      <c r="GI7" s="758"/>
      <c r="GJ7" s="758"/>
      <c r="GK7" s="758"/>
      <c r="GL7" s="758"/>
      <c r="GM7" s="758"/>
      <c r="GN7" s="758"/>
      <c r="GO7" s="758"/>
      <c r="GP7" s="758"/>
      <c r="GQ7" s="758"/>
      <c r="GR7" s="758"/>
      <c r="GS7" s="758"/>
      <c r="GT7" s="758"/>
      <c r="GU7" s="758"/>
      <c r="GV7" s="758"/>
      <c r="GW7" s="758"/>
      <c r="GX7" s="758"/>
      <c r="GY7" s="758"/>
      <c r="GZ7" s="758"/>
      <c r="HA7" s="758"/>
      <c r="HB7" s="758"/>
      <c r="HC7" s="758"/>
      <c r="HD7" s="758"/>
      <c r="HE7" s="758"/>
      <c r="HF7" s="758"/>
      <c r="HG7" s="758"/>
      <c r="HH7" s="758"/>
      <c r="HI7" s="758"/>
      <c r="HJ7" s="758"/>
      <c r="HK7" s="758"/>
      <c r="HL7" s="758"/>
      <c r="HM7" s="758"/>
      <c r="HN7" s="758"/>
      <c r="HO7" s="758"/>
      <c r="HP7" s="758"/>
      <c r="HQ7" s="758"/>
      <c r="HR7" s="758"/>
      <c r="HS7" s="758"/>
      <c r="HT7" s="758"/>
      <c r="HU7" s="758"/>
      <c r="HV7" s="758"/>
      <c r="HW7" s="758"/>
      <c r="HX7" s="758"/>
      <c r="HY7" s="758"/>
      <c r="HZ7" s="758"/>
      <c r="IA7" s="758"/>
      <c r="IB7" s="758"/>
      <c r="IC7" s="758"/>
      <c r="ID7" s="758"/>
      <c r="IE7" s="758"/>
      <c r="IF7" s="758"/>
      <c r="IG7" s="758"/>
      <c r="IH7" s="758"/>
      <c r="II7" s="758"/>
      <c r="IJ7" s="758"/>
      <c r="IK7" s="758"/>
      <c r="IL7" s="758"/>
      <c r="IM7" s="758"/>
      <c r="IN7" s="758"/>
      <c r="IO7" s="758"/>
      <c r="IP7" s="758"/>
      <c r="IQ7" s="758"/>
      <c r="IR7" s="758"/>
      <c r="IS7" s="758"/>
      <c r="IT7" s="758"/>
      <c r="IU7" s="758"/>
      <c r="IV7" s="758"/>
      <c r="IW7" s="758"/>
      <c r="IX7" s="758"/>
      <c r="IY7" s="758"/>
      <c r="IZ7" s="758"/>
      <c r="JA7" s="758"/>
      <c r="JB7" s="758"/>
      <c r="JC7" s="758"/>
      <c r="JD7" s="758"/>
      <c r="JE7" s="758"/>
      <c r="JF7" s="758"/>
      <c r="JG7" s="758"/>
      <c r="JH7" s="758"/>
      <c r="JI7" s="758"/>
      <c r="JJ7" s="758"/>
      <c r="JK7" s="758"/>
      <c r="JL7" s="758"/>
      <c r="JM7" s="758"/>
      <c r="JN7" s="758"/>
      <c r="JO7" s="758"/>
      <c r="JP7" s="758"/>
      <c r="JQ7" s="758"/>
      <c r="JR7" s="758"/>
      <c r="JS7" s="758"/>
      <c r="JT7" s="758"/>
      <c r="JU7" s="758"/>
      <c r="JV7" s="758"/>
      <c r="JW7" s="758"/>
      <c r="JX7" s="758"/>
      <c r="JY7" s="758"/>
      <c r="JZ7" s="758"/>
      <c r="KA7" s="758"/>
      <c r="KB7" s="758"/>
      <c r="KC7" s="758"/>
      <c r="KD7" s="758"/>
      <c r="KE7" s="758"/>
      <c r="KF7" s="758"/>
      <c r="KG7" s="758"/>
      <c r="KH7" s="758"/>
      <c r="KI7" s="758"/>
      <c r="KJ7" s="758"/>
      <c r="KK7" s="758"/>
      <c r="KL7" s="758"/>
      <c r="KM7" s="758"/>
      <c r="KN7" s="758"/>
      <c r="KO7" s="758"/>
      <c r="KP7" s="758"/>
      <c r="KQ7" s="758"/>
      <c r="KR7" s="758"/>
      <c r="KS7" s="758"/>
      <c r="KT7" s="758"/>
      <c r="KU7" s="758"/>
      <c r="KV7" s="758"/>
      <c r="KW7" s="758"/>
      <c r="KX7" s="758"/>
      <c r="KY7" s="758"/>
      <c r="KZ7" s="758"/>
      <c r="LA7" s="758"/>
      <c r="LB7" s="758"/>
      <c r="LC7" s="758"/>
      <c r="LD7" s="758"/>
      <c r="LE7" s="758"/>
      <c r="LF7" s="758"/>
      <c r="LG7" s="758"/>
      <c r="LH7" s="758"/>
      <c r="LI7" s="758"/>
      <c r="LJ7" s="758"/>
      <c r="LK7" s="758"/>
      <c r="LL7" s="758"/>
      <c r="LM7" s="758"/>
      <c r="LN7" s="758"/>
      <c r="LO7" s="758"/>
      <c r="LP7" s="758"/>
      <c r="LQ7" s="758"/>
      <c r="LR7" s="758"/>
      <c r="LS7" s="758"/>
      <c r="LT7" s="758"/>
      <c r="LU7" s="758"/>
      <c r="LV7" s="758"/>
      <c r="LW7" s="758"/>
      <c r="LX7" s="758"/>
      <c r="LY7" s="758"/>
      <c r="LZ7" s="758"/>
      <c r="MA7" s="758"/>
      <c r="MB7" s="758"/>
      <c r="MC7" s="758"/>
      <c r="MD7" s="758"/>
      <c r="ME7" s="758"/>
      <c r="MF7" s="758"/>
      <c r="MG7" s="758"/>
      <c r="MH7" s="758"/>
      <c r="MI7" s="758"/>
      <c r="MJ7" s="758"/>
      <c r="MK7" s="758"/>
      <c r="ML7" s="758"/>
      <c r="MM7" s="758"/>
      <c r="MN7" s="758"/>
      <c r="MO7" s="758"/>
      <c r="MP7" s="758"/>
      <c r="MQ7" s="758"/>
      <c r="MR7" s="758"/>
      <c r="MS7" s="758"/>
      <c r="MT7" s="758"/>
      <c r="MU7" s="758"/>
      <c r="MV7" s="758"/>
      <c r="MW7" s="758"/>
      <c r="MX7" s="758"/>
      <c r="MY7" s="758"/>
      <c r="MZ7" s="758"/>
      <c r="NA7" s="758"/>
      <c r="NB7" s="758"/>
      <c r="NC7" s="758"/>
      <c r="ND7" s="758"/>
      <c r="NE7" s="758"/>
    </row>
    <row r="8" spans="1:369" ht="12.75" customHeight="1">
      <c r="A8" s="854"/>
      <c r="B8" s="1056" t="s">
        <v>405</v>
      </c>
      <c r="C8" s="285" t="s">
        <v>27</v>
      </c>
      <c r="D8" s="1057" t="s">
        <v>1161</v>
      </c>
      <c r="E8" s="780"/>
      <c r="F8" s="780"/>
      <c r="G8" s="780"/>
      <c r="H8" s="780"/>
      <c r="I8" s="848"/>
      <c r="J8" s="1081"/>
      <c r="K8" s="1076">
        <v>1.25</v>
      </c>
      <c r="L8" s="1082" t="s">
        <v>33</v>
      </c>
      <c r="M8" s="1082">
        <v>1.2</v>
      </c>
      <c r="N8" s="1082">
        <v>1.2</v>
      </c>
      <c r="O8" s="1082">
        <v>1.1000000000000001</v>
      </c>
      <c r="P8" s="1082">
        <v>1</v>
      </c>
      <c r="Q8" s="1082">
        <v>1</v>
      </c>
      <c r="R8" s="1087">
        <f>IF($C$11&lt;=0.25,1.2,IF(AND($C$11&gt;0.25,$C$11&lt;=0.5),(1.2-1.2)*($C$11-0.25)/(0.5-0.25)+1.2,IF(AND($C$11&gt;0.5,$C$11&lt;=0.75),(1.1-1.2)*($C$11-0.5)/(0.75-0.5)+1.2,IF(AND($C$11&gt;0.75,$C$11&lt;=1),(1-1.1)*($C$11-0.75)/(1-0.75)+1.1,IF(AND($C$11&gt;1,$C$11&lt;=1.25),(1-1)*($C$11-1)/(1.25-1)+1,1)))))</f>
        <v>1.1544000000000001</v>
      </c>
      <c r="T8" s="1077" t="s">
        <v>1003</v>
      </c>
      <c r="U8" s="1078" t="s">
        <v>1004</v>
      </c>
      <c r="V8" s="1079">
        <v>2.5</v>
      </c>
      <c r="W8" s="1079">
        <v>2.5</v>
      </c>
      <c r="X8" s="1063"/>
      <c r="Y8" s="1088"/>
      <c r="Z8" s="1088"/>
      <c r="AA8" s="757"/>
      <c r="AB8" s="754" t="s">
        <v>506</v>
      </c>
      <c r="AC8" s="755"/>
      <c r="AD8" s="755"/>
      <c r="AE8" s="756"/>
      <c r="AF8" s="766"/>
      <c r="AG8" s="766"/>
      <c r="AH8" s="757"/>
      <c r="AI8" s="1007"/>
      <c r="AJ8" s="1008" t="s">
        <v>1005</v>
      </c>
      <c r="AK8" s="1009"/>
      <c r="AL8" s="1009"/>
      <c r="AM8" s="1010"/>
      <c r="AN8" s="1011">
        <v>2.5</v>
      </c>
      <c r="AO8" s="1012">
        <v>2.5</v>
      </c>
      <c r="AP8" s="757"/>
      <c r="AQ8" s="757"/>
      <c r="AR8" s="757"/>
      <c r="AS8" s="757"/>
      <c r="AT8" s="757"/>
      <c r="AU8" s="757"/>
      <c r="AV8" s="757"/>
      <c r="AW8" s="757"/>
      <c r="AX8" s="757"/>
      <c r="AY8" s="757"/>
      <c r="AZ8" s="757"/>
      <c r="BA8" s="757"/>
      <c r="BB8" s="757"/>
      <c r="BC8" s="757"/>
      <c r="BD8" s="757"/>
      <c r="BE8" s="757"/>
      <c r="BF8" s="757"/>
      <c r="BG8" s="757"/>
      <c r="BH8" s="757"/>
      <c r="BI8" s="757"/>
      <c r="BJ8" s="757"/>
      <c r="BK8" s="757"/>
      <c r="BL8" s="757"/>
      <c r="BM8" s="757"/>
      <c r="BN8" s="757"/>
      <c r="BO8" s="757"/>
      <c r="BP8" s="757"/>
      <c r="BQ8" s="757"/>
      <c r="BR8" s="757"/>
      <c r="BS8" s="757"/>
      <c r="BT8" s="757"/>
      <c r="BU8" s="757"/>
      <c r="BV8" s="757"/>
      <c r="BW8" s="757"/>
      <c r="BX8" s="757"/>
      <c r="BY8" s="757"/>
      <c r="BZ8" s="757"/>
      <c r="CA8" s="757"/>
      <c r="CB8" s="757"/>
      <c r="CC8" s="757"/>
      <c r="CD8" s="757"/>
      <c r="CE8" s="757"/>
      <c r="CF8" s="757"/>
      <c r="CG8" s="757"/>
      <c r="CH8" s="757"/>
      <c r="CI8" s="757"/>
      <c r="CJ8" s="757"/>
      <c r="CK8" s="757"/>
      <c r="CL8" s="757"/>
      <c r="CM8" s="757"/>
      <c r="CN8" s="757"/>
      <c r="CO8" s="757"/>
      <c r="CP8" s="757"/>
      <c r="CQ8" s="757"/>
      <c r="CR8" s="757"/>
      <c r="CS8" s="757"/>
      <c r="CT8" s="757"/>
      <c r="CU8" s="757"/>
      <c r="CV8" s="757"/>
      <c r="CW8" s="757"/>
      <c r="CX8" s="757"/>
      <c r="CY8" s="757"/>
      <c r="CZ8" s="757"/>
      <c r="DA8" s="757"/>
      <c r="DB8" s="757"/>
      <c r="DC8" s="757"/>
      <c r="DD8" s="757"/>
      <c r="DE8" s="757"/>
      <c r="DF8" s="757"/>
      <c r="DG8" s="757"/>
      <c r="DH8" s="757"/>
      <c r="DI8" s="757"/>
      <c r="DJ8" s="757"/>
      <c r="DK8" s="757"/>
      <c r="DL8" s="757"/>
      <c r="DM8" s="757"/>
      <c r="DN8" s="776"/>
      <c r="DO8" s="758"/>
      <c r="DP8" s="758"/>
      <c r="DQ8" s="758"/>
      <c r="DR8" s="753"/>
      <c r="DS8" s="778"/>
      <c r="DT8" s="753"/>
      <c r="DU8" s="758"/>
      <c r="DV8" s="758"/>
      <c r="DW8" s="819"/>
      <c r="DX8" s="758"/>
      <c r="DY8" s="758"/>
      <c r="DZ8" s="758"/>
      <c r="EA8" s="758"/>
      <c r="EB8" s="758"/>
      <c r="EC8" s="758"/>
      <c r="ED8" s="758"/>
      <c r="EE8" s="758"/>
      <c r="EF8" s="758"/>
      <c r="EG8" s="758"/>
      <c r="EH8" s="758"/>
      <c r="EI8" s="758"/>
      <c r="EJ8" s="758"/>
      <c r="EK8" s="758"/>
      <c r="EL8" s="758"/>
      <c r="EM8" s="758"/>
      <c r="EN8" s="758"/>
      <c r="EO8" s="758"/>
      <c r="EP8" s="758"/>
      <c r="EQ8" s="758"/>
      <c r="ER8" s="758"/>
      <c r="ES8" s="758"/>
      <c r="ET8" s="758"/>
      <c r="EU8" s="758"/>
      <c r="EV8" s="758"/>
      <c r="EW8" s="758"/>
      <c r="EX8" s="758"/>
      <c r="EY8" s="758"/>
      <c r="EZ8" s="758"/>
      <c r="FA8" s="758"/>
      <c r="FB8" s="758"/>
      <c r="FC8" s="758"/>
      <c r="FD8" s="758"/>
      <c r="FE8" s="758"/>
      <c r="FF8" s="758"/>
      <c r="FG8" s="758"/>
      <c r="FH8" s="758"/>
      <c r="FI8" s="758"/>
      <c r="FJ8" s="758"/>
      <c r="FK8" s="758"/>
      <c r="FL8" s="758"/>
      <c r="FM8" s="758"/>
      <c r="FN8" s="758"/>
      <c r="FO8" s="758"/>
      <c r="FP8" s="758"/>
      <c r="FQ8" s="758"/>
      <c r="FR8" s="758"/>
      <c r="FS8" s="758"/>
      <c r="FT8" s="758"/>
      <c r="FU8" s="758"/>
      <c r="FV8" s="758"/>
      <c r="FW8" s="758"/>
      <c r="FX8" s="758"/>
      <c r="FY8" s="758"/>
      <c r="FZ8" s="758"/>
      <c r="GA8" s="758"/>
      <c r="GB8" s="758"/>
      <c r="GC8" s="758"/>
      <c r="GD8" s="758"/>
      <c r="GE8" s="758"/>
      <c r="GF8" s="758"/>
      <c r="GG8" s="758"/>
      <c r="GH8" s="758"/>
      <c r="GI8" s="758"/>
      <c r="GJ8" s="758"/>
      <c r="GK8" s="758"/>
      <c r="GL8" s="758"/>
      <c r="GM8" s="758"/>
      <c r="GN8" s="758"/>
      <c r="GO8" s="758"/>
      <c r="GP8" s="758"/>
      <c r="GQ8" s="758"/>
      <c r="GR8" s="758"/>
      <c r="GS8" s="758"/>
      <c r="GT8" s="758"/>
      <c r="GU8" s="758"/>
      <c r="GV8" s="758"/>
      <c r="GW8" s="758"/>
      <c r="GX8" s="758"/>
      <c r="GY8" s="758"/>
      <c r="GZ8" s="758"/>
      <c r="HA8" s="758"/>
      <c r="HB8" s="758"/>
      <c r="HC8" s="758"/>
      <c r="HD8" s="758"/>
      <c r="HE8" s="758"/>
      <c r="HF8" s="758"/>
      <c r="HG8" s="758"/>
      <c r="HH8" s="758"/>
      <c r="HI8" s="758"/>
      <c r="HJ8" s="758"/>
      <c r="HK8" s="758"/>
      <c r="HL8" s="758"/>
      <c r="HM8" s="758"/>
      <c r="HN8" s="758"/>
      <c r="HO8" s="758"/>
      <c r="HP8" s="758"/>
      <c r="HQ8" s="758"/>
      <c r="HR8" s="758"/>
      <c r="HS8" s="758"/>
      <c r="HT8" s="758"/>
      <c r="HU8" s="758"/>
      <c r="HV8" s="758"/>
      <c r="HW8" s="758"/>
      <c r="HX8" s="758"/>
      <c r="HY8" s="758"/>
      <c r="HZ8" s="758"/>
      <c r="IA8" s="758"/>
      <c r="IB8" s="758"/>
      <c r="IC8" s="758"/>
      <c r="ID8" s="758"/>
      <c r="IE8" s="758"/>
      <c r="IF8" s="758"/>
      <c r="IG8" s="758"/>
      <c r="IH8" s="758"/>
      <c r="II8" s="758"/>
      <c r="IJ8" s="758"/>
      <c r="IK8" s="758"/>
      <c r="IL8" s="758"/>
      <c r="IM8" s="758"/>
      <c r="IN8" s="758"/>
      <c r="IO8" s="758"/>
      <c r="IP8" s="758"/>
      <c r="IQ8" s="758"/>
      <c r="IR8" s="758"/>
      <c r="IS8" s="758"/>
      <c r="IT8" s="758"/>
      <c r="IU8" s="758"/>
      <c r="IV8" s="758"/>
      <c r="IW8" s="758"/>
      <c r="IX8" s="758"/>
      <c r="IY8" s="758"/>
      <c r="IZ8" s="758"/>
      <c r="JA8" s="758"/>
      <c r="JB8" s="758"/>
      <c r="JC8" s="758"/>
      <c r="JD8" s="758"/>
      <c r="JE8" s="758"/>
      <c r="JF8" s="758"/>
      <c r="JG8" s="758"/>
      <c r="JH8" s="758"/>
      <c r="JI8" s="758"/>
      <c r="JJ8" s="758"/>
      <c r="JK8" s="758"/>
      <c r="JL8" s="758"/>
      <c r="JM8" s="758"/>
      <c r="JN8" s="758"/>
      <c r="JO8" s="758"/>
      <c r="JP8" s="758"/>
      <c r="JQ8" s="758"/>
      <c r="JR8" s="758"/>
      <c r="JS8" s="758"/>
      <c r="JT8" s="758"/>
      <c r="JU8" s="758"/>
      <c r="JV8" s="758"/>
      <c r="JW8" s="758"/>
      <c r="JX8" s="758"/>
      <c r="JY8" s="758"/>
      <c r="JZ8" s="758"/>
      <c r="KA8" s="758"/>
      <c r="KB8" s="758"/>
      <c r="KC8" s="758"/>
      <c r="KD8" s="758"/>
      <c r="KE8" s="758"/>
      <c r="KF8" s="758"/>
      <c r="KG8" s="758"/>
      <c r="KH8" s="758"/>
      <c r="KI8" s="758"/>
      <c r="KJ8" s="758"/>
      <c r="KK8" s="758"/>
      <c r="KL8" s="758"/>
      <c r="KM8" s="758"/>
      <c r="KN8" s="758"/>
      <c r="KO8" s="758"/>
      <c r="KP8" s="758"/>
      <c r="KQ8" s="758"/>
      <c r="KR8" s="758"/>
      <c r="KS8" s="758"/>
      <c r="KT8" s="758"/>
      <c r="KU8" s="758"/>
      <c r="KV8" s="758"/>
      <c r="KW8" s="758"/>
      <c r="KX8" s="758"/>
      <c r="KY8" s="758"/>
      <c r="KZ8" s="758"/>
      <c r="LA8" s="758"/>
      <c r="LB8" s="758"/>
      <c r="LC8" s="758"/>
      <c r="LD8" s="758"/>
      <c r="LE8" s="758"/>
      <c r="LF8" s="758"/>
      <c r="LG8" s="758"/>
      <c r="LH8" s="758"/>
      <c r="LI8" s="758"/>
      <c r="LJ8" s="758"/>
      <c r="LK8" s="758"/>
      <c r="LL8" s="758"/>
      <c r="LM8" s="758"/>
      <c r="LN8" s="758"/>
      <c r="LO8" s="758"/>
      <c r="LP8" s="758"/>
      <c r="LQ8" s="758"/>
      <c r="LR8" s="758"/>
      <c r="LS8" s="758"/>
      <c r="LT8" s="758"/>
      <c r="LU8" s="758"/>
      <c r="LV8" s="758"/>
      <c r="LW8" s="758"/>
      <c r="LX8" s="758"/>
      <c r="LY8" s="758"/>
      <c r="LZ8" s="758"/>
      <c r="MA8" s="758"/>
      <c r="MB8" s="758"/>
      <c r="MC8" s="758"/>
      <c r="MD8" s="758"/>
      <c r="ME8" s="758"/>
      <c r="MF8" s="758"/>
      <c r="MG8" s="758"/>
      <c r="MH8" s="758"/>
      <c r="MI8" s="758"/>
      <c r="MJ8" s="758"/>
      <c r="MK8" s="758"/>
      <c r="ML8" s="758"/>
      <c r="MM8" s="758"/>
      <c r="MN8" s="758"/>
      <c r="MO8" s="758"/>
      <c r="MP8" s="758"/>
      <c r="MQ8" s="758"/>
      <c r="MR8" s="758"/>
      <c r="MS8" s="758"/>
      <c r="MT8" s="758"/>
      <c r="MU8" s="758"/>
      <c r="MV8" s="758"/>
      <c r="MW8" s="758"/>
      <c r="MX8" s="758"/>
      <c r="MY8" s="758"/>
      <c r="MZ8" s="758"/>
      <c r="NA8" s="758"/>
      <c r="NB8" s="758"/>
      <c r="NC8" s="758"/>
      <c r="ND8" s="758"/>
      <c r="NE8" s="758"/>
    </row>
    <row r="9" spans="1:369" ht="12.75" customHeight="1">
      <c r="A9" s="854"/>
      <c r="B9" s="798" t="s">
        <v>144</v>
      </c>
      <c r="C9" s="2" t="s">
        <v>32</v>
      </c>
      <c r="D9" s="1057" t="s">
        <v>1162</v>
      </c>
      <c r="E9" s="780"/>
      <c r="F9" s="849"/>
      <c r="G9" s="780"/>
      <c r="H9" s="780"/>
      <c r="I9" s="848"/>
      <c r="J9" s="1081"/>
      <c r="K9" s="1076">
        <v>1.5</v>
      </c>
      <c r="L9" s="1082" t="s">
        <v>32</v>
      </c>
      <c r="M9" s="1082">
        <v>1.6</v>
      </c>
      <c r="N9" s="1082">
        <v>1.4</v>
      </c>
      <c r="O9" s="1082">
        <v>1.2</v>
      </c>
      <c r="P9" s="1082">
        <v>1.1000000000000001</v>
      </c>
      <c r="Q9" s="1082">
        <v>1</v>
      </c>
      <c r="R9" s="1087">
        <f>IF($C$11&lt;=0.25,1.6,IF(AND($C$11&gt;0.25,$C$11&lt;=0.5),(1.4-1.6)*($C$11-0.25)/(0.5-0.25)+1.6,IF(AND($C$11&gt;0.5,$C$11&lt;=0.75),(1.2-1.4)*($C$11-0.5)/(0.75-0.5)+1.4,IF(AND($C$11&gt;0.75,$C$11&lt;=1),(1.1-1.2)*($C$11-0.75)/(1-0.75)+1.2,IF(AND($C$11&gt;1,$C$11&lt;=1.25),(1-1.1)*($C$11-1)/(1.25-1)+1.1,1)))))</f>
        <v>1.3088</v>
      </c>
      <c r="T9" s="1084" t="s">
        <v>1006</v>
      </c>
      <c r="U9" s="1085" t="s">
        <v>1007</v>
      </c>
      <c r="V9" s="1086">
        <v>2.5</v>
      </c>
      <c r="W9" s="1086">
        <v>2.5</v>
      </c>
      <c r="X9" s="1063"/>
      <c r="Y9" s="1088"/>
      <c r="Z9" s="1088"/>
      <c r="AA9" s="757"/>
      <c r="AB9" s="1430" t="s">
        <v>507</v>
      </c>
      <c r="AC9" s="1430"/>
      <c r="AD9" s="1430"/>
      <c r="AE9" s="1430"/>
      <c r="AF9" s="1430"/>
      <c r="AG9" s="1430"/>
      <c r="AH9" s="757"/>
      <c r="AI9" s="1013"/>
      <c r="AJ9" s="1014" t="s">
        <v>1008</v>
      </c>
      <c r="AK9" s="1015"/>
      <c r="AL9" s="1015"/>
      <c r="AM9" s="1016"/>
      <c r="AN9" s="1017">
        <v>2.5</v>
      </c>
      <c r="AO9" s="1018">
        <v>2.5</v>
      </c>
      <c r="AP9" s="757"/>
      <c r="AQ9" s="757"/>
      <c r="AR9" s="757"/>
      <c r="AS9" s="757"/>
      <c r="AT9" s="757"/>
      <c r="AU9" s="757"/>
      <c r="AV9" s="757"/>
      <c r="AW9" s="757"/>
      <c r="AX9" s="757"/>
      <c r="AY9" s="757"/>
      <c r="AZ9" s="757"/>
      <c r="BA9" s="757"/>
      <c r="BB9" s="757"/>
      <c r="BC9" s="757"/>
      <c r="BD9" s="757"/>
      <c r="BE9" s="757"/>
      <c r="BF9" s="757"/>
      <c r="BG9" s="757"/>
      <c r="BH9" s="757"/>
      <c r="BI9" s="757"/>
      <c r="BJ9" s="757"/>
      <c r="BK9" s="757"/>
      <c r="BL9" s="757"/>
      <c r="BM9" s="757"/>
      <c r="BN9" s="757"/>
      <c r="BO9" s="757"/>
      <c r="BP9" s="757"/>
      <c r="BQ9" s="757"/>
      <c r="BR9" s="757"/>
      <c r="BS9" s="757"/>
      <c r="BT9" s="757"/>
      <c r="BU9" s="757"/>
      <c r="BV9" s="757"/>
      <c r="BW9" s="757"/>
      <c r="BX9" s="757"/>
      <c r="BY9" s="757"/>
      <c r="BZ9" s="757"/>
      <c r="CA9" s="757"/>
      <c r="CB9" s="757"/>
      <c r="CC9" s="757"/>
      <c r="CD9" s="757"/>
      <c r="CE9" s="757"/>
      <c r="CF9" s="757"/>
      <c r="CG9" s="757"/>
      <c r="CH9" s="757"/>
      <c r="CI9" s="757"/>
      <c r="CJ9" s="757"/>
      <c r="CK9" s="757"/>
      <c r="CL9" s="757"/>
      <c r="CM9" s="757"/>
      <c r="CN9" s="757"/>
      <c r="CO9" s="757"/>
      <c r="CP9" s="757"/>
      <c r="CQ9" s="757"/>
      <c r="CR9" s="757"/>
      <c r="CS9" s="757"/>
      <c r="CT9" s="757"/>
      <c r="CU9" s="757"/>
      <c r="CV9" s="757"/>
      <c r="CW9" s="757"/>
      <c r="CX9" s="757"/>
      <c r="CY9" s="757"/>
      <c r="CZ9" s="757"/>
      <c r="DA9" s="757"/>
      <c r="DB9" s="757"/>
      <c r="DC9" s="757"/>
      <c r="DD9" s="757"/>
      <c r="DE9" s="757"/>
      <c r="DF9" s="757"/>
      <c r="DG9" s="757"/>
      <c r="DH9" s="757"/>
      <c r="DI9" s="757"/>
      <c r="DJ9" s="757"/>
      <c r="DK9" s="757"/>
      <c r="DL9" s="757"/>
      <c r="DM9" s="757"/>
      <c r="DN9" s="776"/>
      <c r="DO9" s="758"/>
      <c r="DP9" s="758"/>
      <c r="DQ9" s="758"/>
      <c r="DR9" s="753"/>
      <c r="DS9" s="778"/>
      <c r="DT9" s="753"/>
      <c r="DU9" s="758"/>
      <c r="DV9" s="758"/>
      <c r="DW9" s="819"/>
      <c r="DX9" s="758"/>
      <c r="DY9" s="758"/>
      <c r="DZ9" s="758"/>
      <c r="EA9" s="758"/>
      <c r="EB9" s="758"/>
      <c r="EC9" s="758"/>
      <c r="ED9" s="758"/>
      <c r="EE9" s="758"/>
      <c r="EF9" s="758"/>
      <c r="EG9" s="758"/>
      <c r="EH9" s="758"/>
      <c r="EI9" s="758"/>
      <c r="EJ9" s="758"/>
      <c r="EK9" s="758"/>
      <c r="EL9" s="758"/>
      <c r="EM9" s="758"/>
      <c r="EN9" s="758"/>
      <c r="EO9" s="758"/>
      <c r="EP9" s="758"/>
      <c r="EQ9" s="758"/>
      <c r="ER9" s="758"/>
      <c r="ES9" s="758"/>
      <c r="ET9" s="758"/>
      <c r="EU9" s="758"/>
      <c r="EV9" s="758"/>
      <c r="EW9" s="758"/>
      <c r="EX9" s="758"/>
      <c r="EY9" s="758"/>
      <c r="EZ9" s="758"/>
      <c r="FA9" s="758"/>
      <c r="FB9" s="758"/>
      <c r="FC9" s="758"/>
      <c r="FD9" s="758"/>
      <c r="FE9" s="758"/>
      <c r="FF9" s="758"/>
      <c r="FG9" s="758"/>
      <c r="FH9" s="758"/>
      <c r="FI9" s="758"/>
      <c r="FJ9" s="758"/>
      <c r="FK9" s="758"/>
      <c r="FL9" s="758"/>
      <c r="FM9" s="758"/>
      <c r="FN9" s="758"/>
      <c r="FO9" s="758"/>
      <c r="FP9" s="758"/>
      <c r="FQ9" s="758"/>
      <c r="FR9" s="758"/>
      <c r="FS9" s="758"/>
      <c r="FT9" s="758"/>
      <c r="FU9" s="758"/>
      <c r="FV9" s="758"/>
      <c r="FW9" s="758"/>
      <c r="FX9" s="758"/>
      <c r="FY9" s="758"/>
      <c r="FZ9" s="758"/>
      <c r="GA9" s="758"/>
      <c r="GB9" s="758"/>
      <c r="GC9" s="758"/>
      <c r="GD9" s="758"/>
      <c r="GE9" s="758"/>
      <c r="GF9" s="758"/>
      <c r="GG9" s="758"/>
      <c r="GH9" s="758"/>
      <c r="GI9" s="758"/>
      <c r="GJ9" s="758"/>
      <c r="GK9" s="758"/>
      <c r="GL9" s="758"/>
      <c r="GM9" s="758"/>
      <c r="GN9" s="758"/>
      <c r="GO9" s="758"/>
      <c r="GP9" s="758"/>
      <c r="GQ9" s="758"/>
      <c r="GR9" s="758"/>
      <c r="GS9" s="758"/>
      <c r="GT9" s="758"/>
      <c r="GU9" s="758"/>
      <c r="GV9" s="758"/>
      <c r="GW9" s="758"/>
      <c r="GX9" s="758"/>
      <c r="GY9" s="758"/>
      <c r="GZ9" s="758"/>
      <c r="HA9" s="758"/>
      <c r="HB9" s="758"/>
      <c r="HC9" s="758"/>
      <c r="HD9" s="758"/>
      <c r="HE9" s="758"/>
      <c r="HF9" s="758"/>
      <c r="HG9" s="758"/>
      <c r="HH9" s="758"/>
      <c r="HI9" s="758"/>
      <c r="HJ9" s="758"/>
      <c r="HK9" s="758"/>
      <c r="HL9" s="758"/>
      <c r="HM9" s="758"/>
      <c r="HN9" s="758"/>
      <c r="HO9" s="758"/>
      <c r="HP9" s="758"/>
      <c r="HQ9" s="758"/>
      <c r="HR9" s="758"/>
      <c r="HS9" s="758"/>
      <c r="HT9" s="758"/>
      <c r="HU9" s="758"/>
      <c r="HV9" s="758"/>
      <c r="HW9" s="758"/>
      <c r="HX9" s="758"/>
      <c r="HY9" s="758"/>
      <c r="HZ9" s="758"/>
      <c r="IA9" s="758"/>
      <c r="IB9" s="758"/>
      <c r="IC9" s="758"/>
      <c r="ID9" s="758"/>
      <c r="IE9" s="758"/>
      <c r="IF9" s="758"/>
      <c r="IG9" s="758"/>
      <c r="IH9" s="758"/>
      <c r="II9" s="758"/>
      <c r="IJ9" s="758"/>
      <c r="IK9" s="758"/>
      <c r="IL9" s="758"/>
      <c r="IM9" s="758"/>
      <c r="IN9" s="758"/>
      <c r="IO9" s="758"/>
      <c r="IP9" s="758"/>
      <c r="IQ9" s="758"/>
      <c r="IR9" s="758"/>
      <c r="IS9" s="758"/>
      <c r="IT9" s="758"/>
      <c r="IU9" s="758"/>
      <c r="IV9" s="758"/>
      <c r="IW9" s="758"/>
      <c r="IX9" s="758"/>
      <c r="IY9" s="758"/>
      <c r="IZ9" s="758"/>
      <c r="JA9" s="758"/>
      <c r="JB9" s="758"/>
      <c r="JC9" s="758"/>
      <c r="JD9" s="758"/>
      <c r="JE9" s="758"/>
      <c r="JF9" s="758"/>
      <c r="JG9" s="758"/>
      <c r="JH9" s="758"/>
      <c r="JI9" s="758"/>
      <c r="JJ9" s="758"/>
      <c r="JK9" s="758"/>
      <c r="JL9" s="758"/>
      <c r="JM9" s="758"/>
      <c r="JN9" s="758"/>
      <c r="JO9" s="758"/>
      <c r="JP9" s="758"/>
      <c r="JQ9" s="758"/>
      <c r="JR9" s="758"/>
      <c r="JS9" s="758"/>
      <c r="JT9" s="758"/>
      <c r="JU9" s="758"/>
      <c r="JV9" s="758"/>
      <c r="JW9" s="758"/>
      <c r="JX9" s="758"/>
      <c r="JY9" s="758"/>
      <c r="JZ9" s="758"/>
      <c r="KA9" s="758"/>
      <c r="KB9" s="758"/>
      <c r="KC9" s="758"/>
      <c r="KD9" s="758"/>
      <c r="KE9" s="758"/>
      <c r="KF9" s="758"/>
      <c r="KG9" s="758"/>
      <c r="KH9" s="758"/>
      <c r="KI9" s="758"/>
      <c r="KJ9" s="758"/>
      <c r="KK9" s="758"/>
      <c r="KL9" s="758"/>
      <c r="KM9" s="758"/>
      <c r="KN9" s="758"/>
      <c r="KO9" s="758"/>
      <c r="KP9" s="758"/>
      <c r="KQ9" s="758"/>
      <c r="KR9" s="758"/>
      <c r="KS9" s="758"/>
      <c r="KT9" s="758"/>
      <c r="KU9" s="758"/>
      <c r="KV9" s="758"/>
      <c r="KW9" s="758"/>
      <c r="KX9" s="758"/>
      <c r="KY9" s="758"/>
      <c r="KZ9" s="758"/>
      <c r="LA9" s="758"/>
      <c r="LB9" s="758"/>
      <c r="LC9" s="758"/>
      <c r="LD9" s="758"/>
      <c r="LE9" s="758"/>
      <c r="LF9" s="758"/>
      <c r="LG9" s="758"/>
      <c r="LH9" s="758"/>
      <c r="LI9" s="758"/>
      <c r="LJ9" s="758"/>
      <c r="LK9" s="758"/>
      <c r="LL9" s="758"/>
      <c r="LM9" s="758"/>
      <c r="LN9" s="758"/>
      <c r="LO9" s="758"/>
      <c r="LP9" s="758"/>
      <c r="LQ9" s="758"/>
      <c r="LR9" s="758"/>
      <c r="LS9" s="758"/>
      <c r="LT9" s="758"/>
      <c r="LU9" s="758"/>
      <c r="LV9" s="758"/>
      <c r="LW9" s="758"/>
      <c r="LX9" s="758"/>
      <c r="LY9" s="758"/>
      <c r="LZ9" s="758"/>
      <c r="MA9" s="758"/>
      <c r="MB9" s="758"/>
      <c r="MC9" s="758"/>
      <c r="MD9" s="758"/>
      <c r="ME9" s="758"/>
      <c r="MF9" s="758"/>
      <c r="MG9" s="758"/>
      <c r="MH9" s="758"/>
      <c r="MI9" s="758"/>
      <c r="MJ9" s="758"/>
      <c r="MK9" s="758"/>
      <c r="ML9" s="758"/>
      <c r="MM9" s="758"/>
      <c r="MN9" s="758"/>
      <c r="MO9" s="758"/>
      <c r="MP9" s="758"/>
      <c r="MQ9" s="758"/>
      <c r="MR9" s="758"/>
      <c r="MS9" s="758"/>
      <c r="MT9" s="758"/>
      <c r="MU9" s="758"/>
      <c r="MV9" s="758"/>
      <c r="MW9" s="758"/>
      <c r="MX9" s="758"/>
      <c r="MY9" s="758"/>
      <c r="MZ9" s="758"/>
      <c r="NA9" s="758"/>
      <c r="NB9" s="758"/>
      <c r="NC9" s="758"/>
      <c r="ND9" s="758"/>
      <c r="NE9" s="758"/>
    </row>
    <row r="10" spans="1:369" ht="12.75" customHeight="1">
      <c r="A10" s="855"/>
      <c r="B10" s="798" t="s">
        <v>42</v>
      </c>
      <c r="C10" s="284"/>
      <c r="D10" s="780" t="str">
        <f>IF($C$10="","(not required)","")</f>
        <v>(not required)</v>
      </c>
      <c r="E10" s="780"/>
      <c r="F10" s="849"/>
      <c r="G10" s="780"/>
      <c r="H10" s="780"/>
      <c r="I10" s="848"/>
      <c r="J10" s="1081"/>
      <c r="K10" s="1087" t="s">
        <v>29</v>
      </c>
      <c r="L10" s="1082" t="s">
        <v>35</v>
      </c>
      <c r="M10" s="1082">
        <v>2.5</v>
      </c>
      <c r="N10" s="1082">
        <v>1.7</v>
      </c>
      <c r="O10" s="1082">
        <v>1.2</v>
      </c>
      <c r="P10" s="1082">
        <v>0.9</v>
      </c>
      <c r="Q10" s="1082">
        <v>0.9</v>
      </c>
      <c r="R10" s="1087">
        <f>IF($C$11&lt;=0.25,2.5,IF(AND($C$11&gt;0.25,$C$11&lt;=0.5),(1.7-2.5)*($C$11-0.25)/(0.5-0.25)+2.5,IF(AND($C$11&gt;0.5,$C$11&lt;=0.75),(1.2-1.7)*($C$11-0.5)/(0.75-0.5)+1.7,IF(AND($C$11&gt;0.75,$C$11&lt;=1),(0.9-1.2)*($C$11-0.75)/(1-0.75)+1.2,IF(AND($C$11&gt;1,$C$11&lt;=1.25),0.9,0.9)))))</f>
        <v>1.472</v>
      </c>
      <c r="T10" s="1077" t="s">
        <v>1009</v>
      </c>
      <c r="U10" s="1078" t="s">
        <v>1010</v>
      </c>
      <c r="V10" s="1079">
        <v>1</v>
      </c>
      <c r="W10" s="1079">
        <v>2.5</v>
      </c>
      <c r="X10" s="1063"/>
      <c r="Y10" s="1088"/>
      <c r="Z10" s="1088"/>
      <c r="AA10" s="757"/>
      <c r="AB10" s="760"/>
      <c r="AC10" s="760"/>
      <c r="AD10" s="760"/>
      <c r="AE10" s="760"/>
      <c r="AF10" s="760"/>
      <c r="AG10" s="760"/>
      <c r="AH10" s="757"/>
      <c r="AI10" s="1001" t="s">
        <v>1011</v>
      </c>
      <c r="AJ10" s="1002"/>
      <c r="AK10" s="1003"/>
      <c r="AL10" s="1003"/>
      <c r="AM10" s="1004"/>
      <c r="AN10" s="1005"/>
      <c r="AO10" s="1006"/>
      <c r="AP10" s="918"/>
      <c r="AQ10" s="757"/>
      <c r="AR10" s="757"/>
      <c r="AS10" s="757"/>
      <c r="AT10" s="757"/>
      <c r="AU10" s="757"/>
      <c r="AV10" s="757"/>
      <c r="AW10" s="757"/>
      <c r="AX10" s="757"/>
      <c r="AY10" s="757"/>
      <c r="AZ10" s="757"/>
      <c r="BA10" s="757"/>
      <c r="BB10" s="757"/>
      <c r="BC10" s="757"/>
      <c r="BD10" s="757"/>
      <c r="BE10" s="757"/>
      <c r="BF10" s="757"/>
      <c r="BG10" s="757"/>
      <c r="BH10" s="757"/>
      <c r="BI10" s="757"/>
      <c r="BJ10" s="757"/>
      <c r="BK10" s="757"/>
      <c r="BL10" s="757"/>
      <c r="BM10" s="757"/>
      <c r="BN10" s="757"/>
      <c r="BO10" s="757"/>
      <c r="BP10" s="757"/>
      <c r="BQ10" s="757"/>
      <c r="BR10" s="757"/>
      <c r="BS10" s="757"/>
      <c r="BT10" s="757"/>
      <c r="BU10" s="757"/>
      <c r="BV10" s="757"/>
      <c r="BW10" s="757"/>
      <c r="BX10" s="757"/>
      <c r="BY10" s="757"/>
      <c r="BZ10" s="757"/>
      <c r="CA10" s="757"/>
      <c r="CB10" s="757"/>
      <c r="CC10" s="757"/>
      <c r="CD10" s="757"/>
      <c r="CE10" s="757"/>
      <c r="CF10" s="757"/>
      <c r="CG10" s="757"/>
      <c r="CH10" s="757"/>
      <c r="CI10" s="757"/>
      <c r="CJ10" s="757"/>
      <c r="CK10" s="757"/>
      <c r="CL10" s="757"/>
      <c r="CM10" s="757"/>
      <c r="CN10" s="757"/>
      <c r="CO10" s="757"/>
      <c r="CP10" s="757"/>
      <c r="CQ10" s="757"/>
      <c r="CR10" s="757"/>
      <c r="CS10" s="757"/>
      <c r="CT10" s="757"/>
      <c r="CU10" s="757"/>
      <c r="CV10" s="757"/>
      <c r="CW10" s="757"/>
      <c r="CX10" s="757"/>
      <c r="CY10" s="757"/>
      <c r="CZ10" s="757"/>
      <c r="DA10" s="757"/>
      <c r="DB10" s="757"/>
      <c r="DC10" s="757"/>
      <c r="DD10" s="757"/>
      <c r="DE10" s="757"/>
      <c r="DF10" s="757"/>
      <c r="DG10" s="757"/>
      <c r="DH10" s="757"/>
      <c r="DI10" s="757"/>
      <c r="DJ10" s="757"/>
      <c r="DK10" s="757"/>
      <c r="DL10" s="757"/>
      <c r="DM10" s="757"/>
      <c r="DN10" s="776"/>
      <c r="DO10" s="758"/>
      <c r="DP10" s="758"/>
      <c r="DQ10" s="758"/>
      <c r="DR10" s="753"/>
      <c r="DS10" s="778"/>
      <c r="DT10" s="753"/>
      <c r="DU10" s="758"/>
      <c r="DV10" s="758"/>
      <c r="DW10" s="819"/>
      <c r="DX10" s="758"/>
      <c r="DY10" s="758"/>
      <c r="DZ10" s="758"/>
      <c r="EA10" s="758"/>
      <c r="EB10" s="758"/>
      <c r="EC10" s="758"/>
      <c r="ED10" s="758"/>
      <c r="EE10" s="758"/>
      <c r="EF10" s="758"/>
      <c r="EG10" s="758"/>
      <c r="EH10" s="758"/>
      <c r="EI10" s="758"/>
      <c r="EJ10" s="758"/>
      <c r="EK10" s="758"/>
      <c r="EL10" s="758"/>
      <c r="EM10" s="758"/>
      <c r="EN10" s="758"/>
      <c r="EO10" s="758"/>
      <c r="EP10" s="758"/>
      <c r="EQ10" s="758"/>
      <c r="ER10" s="758"/>
      <c r="ES10" s="758"/>
      <c r="ET10" s="758"/>
      <c r="EU10" s="758"/>
      <c r="EV10" s="758"/>
      <c r="EW10" s="758"/>
      <c r="EX10" s="758"/>
      <c r="EY10" s="758"/>
      <c r="EZ10" s="758"/>
      <c r="FA10" s="758"/>
      <c r="FB10" s="758"/>
      <c r="FC10" s="758"/>
      <c r="FD10" s="758"/>
      <c r="FE10" s="758"/>
      <c r="FF10" s="758"/>
      <c r="FG10" s="758"/>
      <c r="FH10" s="758"/>
      <c r="FI10" s="758"/>
      <c r="FJ10" s="758"/>
      <c r="FK10" s="758"/>
      <c r="FL10" s="758"/>
      <c r="FM10" s="758"/>
      <c r="FN10" s="758"/>
      <c r="FO10" s="758"/>
      <c r="FP10" s="758"/>
      <c r="FQ10" s="758"/>
      <c r="FR10" s="758"/>
      <c r="FS10" s="758"/>
      <c r="FT10" s="758"/>
      <c r="FU10" s="758"/>
      <c r="FV10" s="758"/>
      <c r="FW10" s="758"/>
      <c r="FX10" s="758"/>
      <c r="FY10" s="758"/>
      <c r="FZ10" s="758"/>
      <c r="GA10" s="758"/>
      <c r="GB10" s="758"/>
      <c r="GC10" s="758"/>
      <c r="GD10" s="758"/>
      <c r="GE10" s="758"/>
      <c r="GF10" s="758"/>
      <c r="GG10" s="758"/>
      <c r="GH10" s="758"/>
      <c r="GI10" s="758"/>
      <c r="GJ10" s="758"/>
      <c r="GK10" s="758"/>
      <c r="GL10" s="758"/>
      <c r="GM10" s="758"/>
      <c r="GN10" s="758"/>
      <c r="GO10" s="758"/>
      <c r="GP10" s="758"/>
      <c r="GQ10" s="758"/>
      <c r="GR10" s="758"/>
      <c r="GS10" s="758"/>
      <c r="GT10" s="758"/>
      <c r="GU10" s="758"/>
      <c r="GV10" s="758"/>
      <c r="GW10" s="758"/>
      <c r="GX10" s="758"/>
      <c r="GY10" s="758"/>
      <c r="GZ10" s="758"/>
      <c r="HA10" s="758"/>
      <c r="HB10" s="758"/>
      <c r="HC10" s="758"/>
      <c r="HD10" s="758"/>
      <c r="HE10" s="758"/>
      <c r="HF10" s="758"/>
      <c r="HG10" s="758"/>
      <c r="HH10" s="758"/>
      <c r="HI10" s="758"/>
      <c r="HJ10" s="758"/>
      <c r="HK10" s="758"/>
      <c r="HL10" s="758"/>
      <c r="HM10" s="758"/>
      <c r="HN10" s="758"/>
      <c r="HO10" s="758"/>
      <c r="HP10" s="758"/>
      <c r="HQ10" s="758"/>
      <c r="HR10" s="758"/>
      <c r="HS10" s="758"/>
      <c r="HT10" s="758"/>
      <c r="HU10" s="758"/>
      <c r="HV10" s="758"/>
      <c r="HW10" s="758"/>
      <c r="HX10" s="758"/>
      <c r="HY10" s="758"/>
      <c r="HZ10" s="758"/>
      <c r="IA10" s="758"/>
      <c r="IB10" s="758"/>
      <c r="IC10" s="758"/>
      <c r="ID10" s="758"/>
      <c r="IE10" s="758"/>
      <c r="IF10" s="758"/>
      <c r="IG10" s="758"/>
      <c r="IH10" s="758"/>
      <c r="II10" s="758"/>
      <c r="IJ10" s="758"/>
      <c r="IK10" s="758"/>
      <c r="IL10" s="758"/>
      <c r="IM10" s="758"/>
      <c r="IN10" s="758"/>
      <c r="IO10" s="758"/>
      <c r="IP10" s="758"/>
      <c r="IQ10" s="758"/>
      <c r="IR10" s="758"/>
      <c r="IS10" s="758"/>
      <c r="IT10" s="758"/>
      <c r="IU10" s="758"/>
      <c r="IV10" s="758"/>
      <c r="IW10" s="758"/>
      <c r="IX10" s="758"/>
      <c r="IY10" s="758"/>
      <c r="IZ10" s="758"/>
      <c r="JA10" s="758"/>
      <c r="JB10" s="758"/>
      <c r="JC10" s="758"/>
      <c r="JD10" s="758"/>
      <c r="JE10" s="758"/>
      <c r="JF10" s="758"/>
      <c r="JG10" s="758"/>
      <c r="JH10" s="758"/>
      <c r="JI10" s="758"/>
      <c r="JJ10" s="758"/>
      <c r="JK10" s="758"/>
      <c r="JL10" s="758"/>
      <c r="JM10" s="758"/>
      <c r="JN10" s="758"/>
      <c r="JO10" s="758"/>
      <c r="JP10" s="758"/>
      <c r="JQ10" s="758"/>
      <c r="JR10" s="758"/>
      <c r="JS10" s="758"/>
      <c r="JT10" s="758"/>
      <c r="JU10" s="758"/>
      <c r="JV10" s="758"/>
      <c r="JW10" s="758"/>
      <c r="JX10" s="758"/>
      <c r="JY10" s="758"/>
      <c r="JZ10" s="758"/>
      <c r="KA10" s="758"/>
      <c r="KB10" s="758"/>
      <c r="KC10" s="758"/>
      <c r="KD10" s="758"/>
      <c r="KE10" s="758"/>
      <c r="KF10" s="758"/>
      <c r="KG10" s="758"/>
      <c r="KH10" s="758"/>
      <c r="KI10" s="758"/>
      <c r="KJ10" s="758"/>
      <c r="KK10" s="758"/>
      <c r="KL10" s="758"/>
      <c r="KM10" s="758"/>
      <c r="KN10" s="758"/>
      <c r="KO10" s="758"/>
      <c r="KP10" s="758"/>
      <c r="KQ10" s="758"/>
      <c r="KR10" s="758"/>
      <c r="KS10" s="758"/>
      <c r="KT10" s="758"/>
      <c r="KU10" s="758"/>
      <c r="KV10" s="758"/>
      <c r="KW10" s="758"/>
      <c r="KX10" s="758"/>
      <c r="KY10" s="758"/>
      <c r="KZ10" s="758"/>
      <c r="LA10" s="758"/>
      <c r="LB10" s="758"/>
      <c r="LC10" s="758"/>
      <c r="LD10" s="758"/>
      <c r="LE10" s="758"/>
      <c r="LF10" s="758"/>
      <c r="LG10" s="758"/>
      <c r="LH10" s="758"/>
      <c r="LI10" s="758"/>
      <c r="LJ10" s="758"/>
      <c r="LK10" s="758"/>
      <c r="LL10" s="758"/>
      <c r="LM10" s="758"/>
      <c r="LN10" s="758"/>
      <c r="LO10" s="758"/>
      <c r="LP10" s="758"/>
      <c r="LQ10" s="758"/>
      <c r="LR10" s="758"/>
      <c r="LS10" s="758"/>
      <c r="LT10" s="758"/>
      <c r="LU10" s="758"/>
      <c r="LV10" s="758"/>
      <c r="LW10" s="758"/>
      <c r="LX10" s="758"/>
      <c r="LY10" s="758"/>
      <c r="LZ10" s="758"/>
      <c r="MA10" s="758"/>
      <c r="MB10" s="758"/>
      <c r="MC10" s="758"/>
      <c r="MD10" s="758"/>
      <c r="ME10" s="758"/>
      <c r="MF10" s="758"/>
      <c r="MG10" s="758"/>
      <c r="MH10" s="758"/>
      <c r="MI10" s="758"/>
      <c r="MJ10" s="758"/>
      <c r="MK10" s="758"/>
      <c r="ML10" s="758"/>
      <c r="MM10" s="758"/>
      <c r="MN10" s="758"/>
      <c r="MO10" s="758"/>
      <c r="MP10" s="758"/>
      <c r="MQ10" s="758"/>
      <c r="MR10" s="758"/>
      <c r="MS10" s="758"/>
      <c r="MT10" s="758"/>
      <c r="MU10" s="758"/>
      <c r="MV10" s="758"/>
      <c r="MW10" s="758"/>
      <c r="MX10" s="758"/>
      <c r="MY10" s="758"/>
      <c r="MZ10" s="758"/>
      <c r="NA10" s="758"/>
      <c r="NB10" s="758"/>
      <c r="NC10" s="758"/>
      <c r="ND10" s="758"/>
      <c r="NE10" s="758"/>
    </row>
    <row r="11" spans="1:369" ht="12.75" customHeight="1">
      <c r="A11" s="856"/>
      <c r="B11" s="798" t="s">
        <v>151</v>
      </c>
      <c r="C11" s="262">
        <v>0.61399999999999999</v>
      </c>
      <c r="D11" s="833" t="s">
        <v>1163</v>
      </c>
      <c r="E11" s="798"/>
      <c r="F11" s="799"/>
      <c r="G11" s="780"/>
      <c r="H11" s="780"/>
      <c r="I11" s="848"/>
      <c r="J11" s="1081"/>
      <c r="K11" s="1087" t="s">
        <v>31</v>
      </c>
      <c r="L11" s="1089" t="s">
        <v>36</v>
      </c>
      <c r="M11" s="1089" t="s">
        <v>38</v>
      </c>
      <c r="N11" s="1089" t="s">
        <v>38</v>
      </c>
      <c r="O11" s="1089" t="s">
        <v>38</v>
      </c>
      <c r="P11" s="1089" t="s">
        <v>38</v>
      </c>
      <c r="Q11" s="1089" t="s">
        <v>38</v>
      </c>
      <c r="R11" s="1090" t="s">
        <v>38</v>
      </c>
      <c r="T11" s="1091" t="s">
        <v>1012</v>
      </c>
      <c r="U11" s="1092" t="s">
        <v>1013</v>
      </c>
      <c r="V11" s="1093">
        <v>1</v>
      </c>
      <c r="W11" s="1093">
        <v>2.5</v>
      </c>
      <c r="X11" s="1063"/>
      <c r="Y11" s="1088"/>
      <c r="Z11" s="1088"/>
      <c r="AA11" s="757"/>
      <c r="AB11" s="762"/>
      <c r="AC11" s="762"/>
      <c r="AD11" s="762"/>
      <c r="AE11" s="762"/>
      <c r="AF11" s="762"/>
      <c r="AG11" s="762"/>
      <c r="AH11" s="757"/>
      <c r="AI11" s="1007"/>
      <c r="AJ11" s="1008" t="s">
        <v>1014</v>
      </c>
      <c r="AK11" s="1009"/>
      <c r="AL11" s="1009"/>
      <c r="AM11" s="1010"/>
      <c r="AN11" s="1011">
        <v>1</v>
      </c>
      <c r="AO11" s="1019">
        <v>2.5</v>
      </c>
      <c r="AP11" s="918"/>
      <c r="AQ11" s="757"/>
      <c r="AR11" s="757"/>
      <c r="AS11" s="757"/>
      <c r="AT11" s="757"/>
      <c r="AU11" s="757"/>
      <c r="AV11" s="757"/>
      <c r="AW11" s="757"/>
      <c r="AX11" s="757"/>
      <c r="AY11" s="757"/>
      <c r="AZ11" s="757"/>
      <c r="BA11" s="757"/>
      <c r="BB11" s="757"/>
      <c r="BC11" s="757"/>
      <c r="BD11" s="757"/>
      <c r="BE11" s="757"/>
      <c r="BF11" s="757"/>
      <c r="BG11" s="757"/>
      <c r="BH11" s="757"/>
      <c r="BI11" s="757"/>
      <c r="BJ11" s="757"/>
      <c r="BK11" s="757"/>
      <c r="BL11" s="757"/>
      <c r="BM11" s="757"/>
      <c r="BN11" s="757"/>
      <c r="BO11" s="757"/>
      <c r="BP11" s="757"/>
      <c r="BQ11" s="757"/>
      <c r="BR11" s="757"/>
      <c r="BS11" s="757"/>
      <c r="BT11" s="757"/>
      <c r="BU11" s="757"/>
      <c r="BV11" s="757"/>
      <c r="BW11" s="757"/>
      <c r="BX11" s="757"/>
      <c r="BY11" s="757"/>
      <c r="BZ11" s="757"/>
      <c r="CA11" s="757"/>
      <c r="CB11" s="757"/>
      <c r="CC11" s="757"/>
      <c r="CD11" s="757"/>
      <c r="CE11" s="757"/>
      <c r="CF11" s="757"/>
      <c r="CG11" s="757"/>
      <c r="CH11" s="757"/>
      <c r="CI11" s="757"/>
      <c r="CJ11" s="757"/>
      <c r="CK11" s="757"/>
      <c r="CL11" s="757"/>
      <c r="CM11" s="757"/>
      <c r="CN11" s="757"/>
      <c r="CO11" s="757"/>
      <c r="CP11" s="757"/>
      <c r="CQ11" s="757"/>
      <c r="CR11" s="757"/>
      <c r="CS11" s="757"/>
      <c r="CT11" s="757"/>
      <c r="CU11" s="757"/>
      <c r="CV11" s="757"/>
      <c r="CW11" s="757"/>
      <c r="CX11" s="757"/>
      <c r="CY11" s="757"/>
      <c r="CZ11" s="757"/>
      <c r="DA11" s="757"/>
      <c r="DB11" s="757"/>
      <c r="DC11" s="757"/>
      <c r="DD11" s="757"/>
      <c r="DE11" s="757"/>
      <c r="DF11" s="757"/>
      <c r="DG11" s="757"/>
      <c r="DH11" s="757"/>
      <c r="DI11" s="757"/>
      <c r="DJ11" s="757"/>
      <c r="DK11" s="757"/>
      <c r="DL11" s="757"/>
      <c r="DM11" s="757"/>
      <c r="DN11" s="776"/>
      <c r="DO11" s="758"/>
      <c r="DP11" s="758"/>
      <c r="DQ11" s="758"/>
      <c r="DR11" s="753"/>
      <c r="DS11" s="778"/>
      <c r="DT11" s="753"/>
      <c r="DU11" s="758"/>
      <c r="DV11" s="758"/>
      <c r="DW11" s="819"/>
      <c r="DX11" s="758"/>
      <c r="DY11" s="758"/>
      <c r="DZ11" s="758"/>
      <c r="EA11" s="758"/>
      <c r="EB11" s="758"/>
      <c r="EC11" s="758"/>
      <c r="ED11" s="758"/>
      <c r="EE11" s="758"/>
      <c r="EF11" s="758"/>
      <c r="EG11" s="758"/>
      <c r="EH11" s="758"/>
      <c r="EI11" s="758"/>
      <c r="EJ11" s="758"/>
      <c r="EK11" s="758"/>
      <c r="EL11" s="758"/>
      <c r="EM11" s="758"/>
      <c r="EN11" s="758"/>
      <c r="EO11" s="758"/>
      <c r="EP11" s="758"/>
      <c r="EQ11" s="758"/>
      <c r="ER11" s="758"/>
      <c r="ES11" s="758"/>
      <c r="ET11" s="758"/>
      <c r="EU11" s="758"/>
      <c r="EV11" s="758"/>
      <c r="EW11" s="758"/>
      <c r="EX11" s="758"/>
      <c r="EY11" s="758"/>
      <c r="EZ11" s="758"/>
      <c r="FA11" s="758"/>
      <c r="FB11" s="758"/>
      <c r="FC11" s="758"/>
      <c r="FD11" s="758"/>
      <c r="FE11" s="758"/>
      <c r="FF11" s="758"/>
      <c r="FG11" s="758"/>
      <c r="FH11" s="758"/>
      <c r="FI11" s="758"/>
      <c r="FJ11" s="758"/>
      <c r="FK11" s="758"/>
      <c r="FL11" s="758"/>
      <c r="FM11" s="758"/>
      <c r="FN11" s="758"/>
      <c r="FO11" s="758"/>
      <c r="FP11" s="758"/>
      <c r="FQ11" s="758"/>
      <c r="FR11" s="758"/>
      <c r="FS11" s="758"/>
      <c r="FT11" s="758"/>
      <c r="FU11" s="758"/>
      <c r="FV11" s="758"/>
      <c r="FW11" s="758"/>
      <c r="FX11" s="758"/>
      <c r="FY11" s="758"/>
      <c r="FZ11" s="758"/>
      <c r="GA11" s="758"/>
      <c r="GB11" s="758"/>
      <c r="GC11" s="758"/>
      <c r="GD11" s="758"/>
      <c r="GE11" s="758"/>
      <c r="GF11" s="758"/>
      <c r="GG11" s="758"/>
      <c r="GH11" s="758"/>
      <c r="GI11" s="758"/>
      <c r="GJ11" s="758"/>
      <c r="GK11" s="758"/>
      <c r="GL11" s="758"/>
      <c r="GM11" s="758"/>
      <c r="GN11" s="758"/>
      <c r="GO11" s="758"/>
      <c r="GP11" s="758"/>
      <c r="GQ11" s="758"/>
      <c r="GR11" s="758"/>
      <c r="GS11" s="758"/>
      <c r="GT11" s="758"/>
      <c r="GU11" s="758"/>
      <c r="GV11" s="758"/>
      <c r="GW11" s="758"/>
      <c r="GX11" s="758"/>
      <c r="GY11" s="758"/>
      <c r="GZ11" s="758"/>
      <c r="HA11" s="758"/>
      <c r="HB11" s="758"/>
      <c r="HC11" s="758"/>
      <c r="HD11" s="758"/>
      <c r="HE11" s="758"/>
      <c r="HF11" s="758"/>
      <c r="HG11" s="758"/>
      <c r="HH11" s="758"/>
      <c r="HI11" s="758"/>
      <c r="HJ11" s="758"/>
      <c r="HK11" s="758"/>
      <c r="HL11" s="758"/>
      <c r="HM11" s="758"/>
      <c r="HN11" s="758"/>
      <c r="HO11" s="758"/>
      <c r="HP11" s="758"/>
      <c r="HQ11" s="758"/>
      <c r="HR11" s="758"/>
      <c r="HS11" s="758"/>
      <c r="HT11" s="758"/>
      <c r="HU11" s="758"/>
      <c r="HV11" s="758"/>
      <c r="HW11" s="758"/>
      <c r="HX11" s="758"/>
      <c r="HY11" s="758"/>
      <c r="HZ11" s="758"/>
      <c r="IA11" s="758"/>
      <c r="IB11" s="758"/>
      <c r="IC11" s="758"/>
      <c r="ID11" s="758"/>
      <c r="IE11" s="758"/>
      <c r="IF11" s="758"/>
      <c r="IG11" s="758"/>
      <c r="IH11" s="758"/>
      <c r="II11" s="758"/>
      <c r="IJ11" s="758"/>
      <c r="IK11" s="758"/>
      <c r="IL11" s="758"/>
      <c r="IM11" s="758"/>
      <c r="IN11" s="758"/>
      <c r="IO11" s="758"/>
      <c r="IP11" s="758"/>
      <c r="IQ11" s="758"/>
      <c r="IR11" s="758"/>
      <c r="IS11" s="758"/>
      <c r="IT11" s="758"/>
      <c r="IU11" s="758"/>
      <c r="IV11" s="758"/>
      <c r="IW11" s="758"/>
      <c r="IX11" s="758"/>
      <c r="IY11" s="758"/>
      <c r="IZ11" s="758"/>
      <c r="JA11" s="758"/>
      <c r="JB11" s="758"/>
      <c r="JC11" s="758"/>
      <c r="JD11" s="758"/>
      <c r="JE11" s="758"/>
      <c r="JF11" s="758"/>
      <c r="JG11" s="758"/>
      <c r="JH11" s="758"/>
      <c r="JI11" s="758"/>
      <c r="JJ11" s="758"/>
      <c r="JK11" s="758"/>
      <c r="JL11" s="758"/>
      <c r="JM11" s="758"/>
      <c r="JN11" s="758"/>
      <c r="JO11" s="758"/>
      <c r="JP11" s="758"/>
      <c r="JQ11" s="758"/>
      <c r="JR11" s="758"/>
      <c r="JS11" s="758"/>
      <c r="JT11" s="758"/>
      <c r="JU11" s="758"/>
      <c r="JV11" s="758"/>
      <c r="JW11" s="758"/>
      <c r="JX11" s="758"/>
      <c r="JY11" s="758"/>
      <c r="JZ11" s="758"/>
      <c r="KA11" s="758"/>
      <c r="KB11" s="758"/>
      <c r="KC11" s="758"/>
      <c r="KD11" s="758"/>
      <c r="KE11" s="758"/>
      <c r="KF11" s="758"/>
      <c r="KG11" s="758"/>
      <c r="KH11" s="758"/>
      <c r="KI11" s="758"/>
      <c r="KJ11" s="758"/>
      <c r="KK11" s="758"/>
      <c r="KL11" s="758"/>
      <c r="KM11" s="758"/>
      <c r="KN11" s="758"/>
      <c r="KO11" s="758"/>
      <c r="KP11" s="758"/>
      <c r="KQ11" s="758"/>
      <c r="KR11" s="758"/>
      <c r="KS11" s="758"/>
      <c r="KT11" s="758"/>
      <c r="KU11" s="758"/>
      <c r="KV11" s="758"/>
      <c r="KW11" s="758"/>
      <c r="KX11" s="758"/>
      <c r="KY11" s="758"/>
      <c r="KZ11" s="758"/>
      <c r="LA11" s="758"/>
      <c r="LB11" s="758"/>
      <c r="LC11" s="758"/>
      <c r="LD11" s="758"/>
      <c r="LE11" s="758"/>
      <c r="LF11" s="758"/>
      <c r="LG11" s="758"/>
      <c r="LH11" s="758"/>
      <c r="LI11" s="758"/>
      <c r="LJ11" s="758"/>
      <c r="LK11" s="758"/>
      <c r="LL11" s="758"/>
      <c r="LM11" s="758"/>
      <c r="LN11" s="758"/>
      <c r="LO11" s="758"/>
      <c r="LP11" s="758"/>
      <c r="LQ11" s="758"/>
      <c r="LR11" s="758"/>
      <c r="LS11" s="758"/>
      <c r="LT11" s="758"/>
      <c r="LU11" s="758"/>
      <c r="LV11" s="758"/>
      <c r="LW11" s="758"/>
      <c r="LX11" s="758"/>
      <c r="LY11" s="758"/>
      <c r="LZ11" s="758"/>
      <c r="MA11" s="758"/>
      <c r="MB11" s="758"/>
      <c r="MC11" s="758"/>
      <c r="MD11" s="758"/>
      <c r="ME11" s="758"/>
      <c r="MF11" s="758"/>
      <c r="MG11" s="758"/>
      <c r="MH11" s="758"/>
      <c r="MI11" s="758"/>
      <c r="MJ11" s="758"/>
      <c r="MK11" s="758"/>
      <c r="ML11" s="758"/>
      <c r="MM11" s="758"/>
      <c r="MN11" s="758"/>
      <c r="MO11" s="758"/>
      <c r="MP11" s="758"/>
      <c r="MQ11" s="758"/>
      <c r="MR11" s="758"/>
      <c r="MS11" s="758"/>
      <c r="MT11" s="758"/>
      <c r="MU11" s="758"/>
      <c r="MV11" s="758"/>
      <c r="MW11" s="758"/>
      <c r="MX11" s="758"/>
      <c r="MY11" s="758"/>
      <c r="MZ11" s="758"/>
      <c r="NA11" s="758"/>
      <c r="NB11" s="758"/>
      <c r="NC11" s="758"/>
      <c r="ND11" s="758"/>
      <c r="NE11" s="758"/>
    </row>
    <row r="12" spans="1:369" ht="12.75" customHeight="1">
      <c r="A12" s="857"/>
      <c r="B12" s="798" t="s">
        <v>152</v>
      </c>
      <c r="C12" s="262">
        <v>0.27800000000000002</v>
      </c>
      <c r="D12" s="833" t="s">
        <v>1164</v>
      </c>
      <c r="E12" s="798"/>
      <c r="F12" s="799"/>
      <c r="G12" s="753"/>
      <c r="H12" s="780"/>
      <c r="I12" s="850"/>
      <c r="J12" s="1081"/>
      <c r="K12" s="1087" t="s">
        <v>33</v>
      </c>
      <c r="O12" s="1039"/>
      <c r="P12" s="1090"/>
      <c r="T12" s="1094" t="s">
        <v>1015</v>
      </c>
      <c r="U12" s="1095" t="s">
        <v>1016</v>
      </c>
      <c r="V12" s="1096">
        <v>1</v>
      </c>
      <c r="W12" s="1096">
        <v>2.5</v>
      </c>
      <c r="X12" s="1063"/>
      <c r="Y12" s="1088"/>
      <c r="Z12" s="1088"/>
      <c r="AA12" s="753"/>
      <c r="AB12" s="760"/>
      <c r="AC12" s="760"/>
      <c r="AD12" s="760"/>
      <c r="AE12" s="760"/>
      <c r="AF12" s="760"/>
      <c r="AG12" s="760"/>
      <c r="AH12" s="753"/>
      <c r="AI12" s="1007"/>
      <c r="AJ12" s="1008" t="s">
        <v>1017</v>
      </c>
      <c r="AK12" s="1009"/>
      <c r="AL12" s="1009"/>
      <c r="AM12" s="1010"/>
      <c r="AN12" s="1020">
        <v>1</v>
      </c>
      <c r="AO12" s="1021">
        <v>2.5</v>
      </c>
      <c r="AP12" s="753"/>
      <c r="AQ12" s="918"/>
      <c r="AR12" s="918"/>
      <c r="AS12" s="918"/>
      <c r="AT12" s="918"/>
      <c r="AU12" s="918"/>
      <c r="AV12" s="918"/>
      <c r="AW12" s="918"/>
      <c r="AX12" s="918"/>
      <c r="AY12" s="918"/>
      <c r="AZ12" s="918"/>
      <c r="BA12" s="918"/>
      <c r="BB12" s="918"/>
      <c r="BC12" s="918"/>
      <c r="BD12" s="918"/>
      <c r="BE12" s="918"/>
      <c r="BF12" s="918"/>
      <c r="BG12" s="918"/>
      <c r="BH12" s="918"/>
      <c r="BI12" s="918"/>
      <c r="BJ12" s="918"/>
      <c r="BK12" s="918"/>
      <c r="BL12" s="918"/>
      <c r="BM12" s="918"/>
      <c r="BN12" s="918"/>
      <c r="BO12" s="757"/>
      <c r="BP12" s="757"/>
      <c r="BQ12" s="757"/>
      <c r="BR12" s="757"/>
      <c r="BS12" s="757"/>
      <c r="BT12" s="757"/>
      <c r="BU12" s="757"/>
      <c r="BV12" s="757"/>
      <c r="BW12" s="757"/>
      <c r="BX12" s="757"/>
      <c r="BY12" s="757"/>
      <c r="BZ12" s="757"/>
      <c r="CA12" s="757"/>
      <c r="CB12" s="757"/>
      <c r="CC12" s="757"/>
      <c r="CD12" s="757"/>
      <c r="CE12" s="757"/>
      <c r="CF12" s="757"/>
      <c r="CG12" s="757"/>
      <c r="CH12" s="757"/>
      <c r="CI12" s="757"/>
      <c r="CJ12" s="757"/>
      <c r="CK12" s="757"/>
      <c r="CL12" s="757"/>
      <c r="CM12" s="757"/>
      <c r="CN12" s="753"/>
      <c r="CO12" s="753"/>
      <c r="CP12" s="753"/>
      <c r="CQ12" s="753"/>
      <c r="CR12" s="753"/>
      <c r="CS12" s="753"/>
      <c r="CT12" s="753"/>
      <c r="CU12" s="753"/>
      <c r="CV12" s="753"/>
      <c r="CW12" s="753"/>
      <c r="CX12" s="753"/>
      <c r="CY12" s="753"/>
      <c r="CZ12" s="753"/>
      <c r="DA12" s="753"/>
      <c r="DB12" s="753"/>
      <c r="DC12" s="753"/>
      <c r="DD12" s="753"/>
      <c r="DE12" s="753"/>
      <c r="DF12" s="753"/>
      <c r="DG12" s="753"/>
      <c r="DH12" s="753"/>
      <c r="DI12" s="753"/>
      <c r="DJ12" s="753"/>
      <c r="DK12" s="753"/>
      <c r="DL12" s="753"/>
      <c r="DM12" s="753"/>
      <c r="DN12" s="776"/>
      <c r="DO12" s="758"/>
      <c r="DP12" s="758"/>
      <c r="DQ12" s="758"/>
      <c r="DR12" s="753"/>
      <c r="DS12" s="778"/>
      <c r="DT12" s="753"/>
      <c r="DU12" s="758"/>
      <c r="DV12" s="758"/>
      <c r="DW12" s="819"/>
      <c r="DX12" s="758"/>
      <c r="DY12" s="758"/>
      <c r="DZ12" s="758"/>
      <c r="EA12" s="758"/>
      <c r="EB12" s="758"/>
      <c r="EC12" s="758"/>
      <c r="ED12" s="758"/>
      <c r="EE12" s="758"/>
      <c r="EF12" s="758"/>
      <c r="EG12" s="758"/>
      <c r="EH12" s="758"/>
      <c r="EI12" s="758"/>
      <c r="EJ12" s="758"/>
      <c r="EK12" s="758"/>
      <c r="EL12" s="758"/>
      <c r="EM12" s="758"/>
      <c r="EN12" s="758"/>
      <c r="EO12" s="758"/>
      <c r="EP12" s="758"/>
      <c r="EQ12" s="758"/>
      <c r="ER12" s="758"/>
      <c r="ES12" s="758"/>
      <c r="ET12" s="758"/>
      <c r="EU12" s="758"/>
      <c r="EV12" s="758"/>
      <c r="EW12" s="758"/>
      <c r="EX12" s="758"/>
      <c r="EY12" s="758"/>
      <c r="EZ12" s="758"/>
      <c r="FA12" s="758"/>
      <c r="FB12" s="758"/>
      <c r="FC12" s="758"/>
      <c r="FD12" s="758"/>
      <c r="FE12" s="758"/>
      <c r="FF12" s="758"/>
      <c r="FG12" s="758"/>
      <c r="FH12" s="758"/>
      <c r="FI12" s="758"/>
      <c r="FJ12" s="758"/>
      <c r="FK12" s="758"/>
      <c r="FL12" s="758"/>
      <c r="FM12" s="758"/>
      <c r="FN12" s="758"/>
      <c r="FO12" s="758"/>
      <c r="FP12" s="758"/>
      <c r="FQ12" s="758"/>
      <c r="FR12" s="758"/>
      <c r="FS12" s="758"/>
      <c r="FT12" s="758"/>
      <c r="FU12" s="758"/>
      <c r="FV12" s="758"/>
      <c r="FW12" s="758"/>
      <c r="FX12" s="758"/>
      <c r="FY12" s="758"/>
      <c r="FZ12" s="758"/>
      <c r="GA12" s="758"/>
      <c r="GB12" s="758"/>
      <c r="GC12" s="758"/>
      <c r="GD12" s="758"/>
      <c r="GE12" s="758"/>
      <c r="GF12" s="758"/>
      <c r="GG12" s="758"/>
      <c r="GH12" s="758"/>
      <c r="GI12" s="758"/>
      <c r="GJ12" s="758"/>
      <c r="GK12" s="758"/>
      <c r="GL12" s="758"/>
      <c r="GM12" s="758"/>
      <c r="GN12" s="758"/>
      <c r="GO12" s="758"/>
      <c r="GP12" s="758"/>
      <c r="GQ12" s="758"/>
      <c r="GR12" s="758"/>
      <c r="GS12" s="758"/>
      <c r="GT12" s="758"/>
      <c r="GU12" s="758"/>
      <c r="GV12" s="758"/>
      <c r="GW12" s="758"/>
      <c r="GX12" s="758"/>
      <c r="GY12" s="758"/>
      <c r="GZ12" s="758"/>
      <c r="HA12" s="758"/>
      <c r="HB12" s="758"/>
      <c r="HC12" s="758"/>
      <c r="HD12" s="758"/>
      <c r="HE12" s="758"/>
      <c r="HF12" s="758"/>
      <c r="HG12" s="758"/>
      <c r="HH12" s="758"/>
      <c r="HI12" s="758"/>
      <c r="HJ12" s="758"/>
      <c r="HK12" s="758"/>
      <c r="HL12" s="758"/>
      <c r="HM12" s="758"/>
      <c r="HN12" s="758"/>
      <c r="HO12" s="758"/>
      <c r="HP12" s="758"/>
      <c r="HQ12" s="758"/>
      <c r="HR12" s="758"/>
      <c r="HS12" s="758"/>
      <c r="HT12" s="758"/>
      <c r="HU12" s="758"/>
      <c r="HV12" s="758"/>
      <c r="HW12" s="758"/>
      <c r="HX12" s="758"/>
      <c r="HY12" s="758"/>
      <c r="HZ12" s="758"/>
      <c r="IA12" s="758"/>
      <c r="IB12" s="758"/>
      <c r="IC12" s="758"/>
      <c r="ID12" s="758"/>
      <c r="IE12" s="758"/>
      <c r="IF12" s="758"/>
      <c r="IG12" s="758"/>
      <c r="IH12" s="758"/>
      <c r="II12" s="758"/>
      <c r="IJ12" s="758"/>
      <c r="IK12" s="758"/>
      <c r="IL12" s="758"/>
      <c r="IM12" s="758"/>
      <c r="IN12" s="758"/>
      <c r="IO12" s="758"/>
      <c r="IP12" s="758"/>
      <c r="IQ12" s="758"/>
      <c r="IR12" s="758"/>
      <c r="IS12" s="758"/>
      <c r="IT12" s="758"/>
      <c r="IU12" s="758"/>
      <c r="IV12" s="758"/>
      <c r="IW12" s="758"/>
      <c r="IX12" s="758"/>
      <c r="IY12" s="758"/>
      <c r="IZ12" s="758"/>
      <c r="JA12" s="758"/>
      <c r="JB12" s="758"/>
      <c r="JC12" s="758"/>
      <c r="JD12" s="758"/>
      <c r="JE12" s="758"/>
      <c r="JF12" s="758"/>
      <c r="JG12" s="758"/>
      <c r="JH12" s="758"/>
      <c r="JI12" s="758"/>
      <c r="JJ12" s="758"/>
      <c r="JK12" s="758"/>
      <c r="JL12" s="758"/>
      <c r="JM12" s="758"/>
      <c r="JN12" s="758"/>
      <c r="JO12" s="758"/>
      <c r="JP12" s="758"/>
      <c r="JQ12" s="758"/>
      <c r="JR12" s="758"/>
      <c r="JS12" s="758"/>
      <c r="JT12" s="758"/>
      <c r="JU12" s="758"/>
      <c r="JV12" s="758"/>
      <c r="JW12" s="758"/>
      <c r="JX12" s="758"/>
      <c r="JY12" s="758"/>
      <c r="JZ12" s="758"/>
      <c r="KA12" s="758"/>
      <c r="KB12" s="758"/>
      <c r="KC12" s="758"/>
      <c r="KD12" s="758"/>
      <c r="KE12" s="758"/>
      <c r="KF12" s="758"/>
      <c r="KG12" s="758"/>
      <c r="KH12" s="758"/>
      <c r="KI12" s="758"/>
      <c r="KJ12" s="758"/>
      <c r="KK12" s="758"/>
      <c r="KL12" s="758"/>
      <c r="KM12" s="758"/>
      <c r="KN12" s="758"/>
      <c r="KO12" s="758"/>
      <c r="KP12" s="758"/>
      <c r="KQ12" s="758"/>
      <c r="KR12" s="758"/>
      <c r="KS12" s="758"/>
      <c r="KT12" s="758"/>
      <c r="KU12" s="758"/>
      <c r="KV12" s="758"/>
      <c r="KW12" s="758"/>
      <c r="KX12" s="758"/>
      <c r="KY12" s="758"/>
      <c r="KZ12" s="758"/>
      <c r="LA12" s="758"/>
      <c r="LB12" s="758"/>
      <c r="LC12" s="758"/>
      <c r="LD12" s="758"/>
      <c r="LE12" s="758"/>
      <c r="LF12" s="758"/>
      <c r="LG12" s="758"/>
      <c r="LH12" s="758"/>
      <c r="LI12" s="758"/>
      <c r="LJ12" s="758"/>
      <c r="LK12" s="758"/>
      <c r="LL12" s="758"/>
      <c r="LM12" s="758"/>
      <c r="LN12" s="758"/>
      <c r="LO12" s="758"/>
      <c r="LP12" s="758"/>
      <c r="LQ12" s="758"/>
      <c r="LR12" s="758"/>
      <c r="LS12" s="758"/>
      <c r="LT12" s="758"/>
      <c r="LU12" s="758"/>
      <c r="LV12" s="758"/>
      <c r="LW12" s="758"/>
      <c r="LX12" s="758"/>
      <c r="LY12" s="758"/>
      <c r="LZ12" s="758"/>
      <c r="MA12" s="758"/>
      <c r="MB12" s="758"/>
      <c r="MC12" s="758"/>
      <c r="MD12" s="758"/>
      <c r="ME12" s="758"/>
      <c r="MF12" s="758"/>
      <c r="MG12" s="758"/>
      <c r="MH12" s="758"/>
      <c r="MI12" s="758"/>
      <c r="MJ12" s="758"/>
      <c r="MK12" s="758"/>
      <c r="ML12" s="758"/>
      <c r="MM12" s="758"/>
      <c r="MN12" s="758"/>
      <c r="MO12" s="758"/>
      <c r="MP12" s="758"/>
      <c r="MQ12" s="758"/>
      <c r="MR12" s="758"/>
      <c r="MS12" s="758"/>
      <c r="MT12" s="758"/>
      <c r="MU12" s="758"/>
      <c r="MV12" s="758"/>
      <c r="MW12" s="758"/>
      <c r="MX12" s="758"/>
      <c r="MY12" s="758"/>
      <c r="MZ12" s="758"/>
      <c r="NA12" s="758"/>
      <c r="NB12" s="758"/>
      <c r="NC12" s="758"/>
      <c r="ND12" s="758"/>
      <c r="NE12" s="758"/>
    </row>
    <row r="13" spans="1:369" ht="12.75" customHeight="1">
      <c r="A13" s="854"/>
      <c r="B13" s="798" t="s">
        <v>1018</v>
      </c>
      <c r="C13" s="262">
        <v>40</v>
      </c>
      <c r="D13" s="852" t="s">
        <v>54</v>
      </c>
      <c r="E13" s="798"/>
      <c r="F13" s="799"/>
      <c r="G13" s="773"/>
      <c r="H13" s="780"/>
      <c r="I13" s="850"/>
      <c r="J13" s="1081"/>
      <c r="K13" s="1087" t="s">
        <v>32</v>
      </c>
      <c r="L13" s="1066" t="s">
        <v>1182</v>
      </c>
      <c r="M13" s="1067"/>
      <c r="N13" s="1067"/>
      <c r="O13" s="1067"/>
      <c r="P13" s="1067"/>
      <c r="Q13" s="1068"/>
      <c r="R13" s="773"/>
      <c r="T13" s="1097" t="s">
        <v>1019</v>
      </c>
      <c r="U13" s="1098" t="s">
        <v>1020</v>
      </c>
      <c r="V13" s="1099">
        <v>1</v>
      </c>
      <c r="W13" s="1099">
        <v>2.5</v>
      </c>
      <c r="X13" s="1063"/>
      <c r="Y13" s="1088"/>
      <c r="Z13" s="1088"/>
      <c r="AA13" s="753"/>
      <c r="AB13" s="760"/>
      <c r="AC13" s="760"/>
      <c r="AD13" s="760"/>
      <c r="AE13" s="760"/>
      <c r="AF13" s="760"/>
      <c r="AG13" s="760"/>
      <c r="AH13" s="753"/>
      <c r="AI13" s="1013"/>
      <c r="AJ13" s="1014" t="s">
        <v>1021</v>
      </c>
      <c r="AK13" s="1015"/>
      <c r="AL13" s="1015"/>
      <c r="AM13" s="1016"/>
      <c r="AN13" s="1022" t="s">
        <v>1022</v>
      </c>
      <c r="AO13" s="1023">
        <v>2.5</v>
      </c>
      <c r="AP13" s="753"/>
      <c r="AQ13" s="918"/>
      <c r="AR13" s="918"/>
      <c r="AS13" s="918"/>
      <c r="AT13" s="918"/>
      <c r="AU13" s="918"/>
      <c r="AV13" s="918"/>
      <c r="AW13" s="918"/>
      <c r="AX13" s="918"/>
      <c r="AY13" s="918"/>
      <c r="AZ13" s="918"/>
      <c r="BA13" s="918"/>
      <c r="BB13" s="918"/>
      <c r="BC13" s="918"/>
      <c r="BD13" s="918"/>
      <c r="BE13" s="918"/>
      <c r="BF13" s="918"/>
      <c r="BG13" s="918"/>
      <c r="BH13" s="918"/>
      <c r="BI13" s="918"/>
      <c r="BJ13" s="918"/>
      <c r="BK13" s="918"/>
      <c r="BL13" s="918"/>
      <c r="BM13" s="918"/>
      <c r="BN13" s="918"/>
      <c r="BO13" s="757"/>
      <c r="BP13" s="757"/>
      <c r="BQ13" s="757"/>
      <c r="BR13" s="757"/>
      <c r="BS13" s="757"/>
      <c r="BT13" s="757"/>
      <c r="BU13" s="757"/>
      <c r="BV13" s="757"/>
      <c r="BW13" s="757"/>
      <c r="BX13" s="757"/>
      <c r="BY13" s="757"/>
      <c r="BZ13" s="757"/>
      <c r="CA13" s="757"/>
      <c r="CB13" s="757"/>
      <c r="CC13" s="757"/>
      <c r="CD13" s="757"/>
      <c r="CE13" s="757"/>
      <c r="CF13" s="757"/>
      <c r="CG13" s="757"/>
      <c r="CH13" s="757"/>
      <c r="CI13" s="757"/>
      <c r="CJ13" s="757"/>
      <c r="CK13" s="757"/>
      <c r="CL13" s="757"/>
      <c r="CM13" s="757"/>
      <c r="CN13" s="753"/>
      <c r="CO13" s="753"/>
      <c r="CP13" s="753"/>
      <c r="CQ13" s="753"/>
      <c r="CR13" s="753"/>
      <c r="CS13" s="753"/>
      <c r="CT13" s="753"/>
      <c r="CU13" s="753"/>
      <c r="CV13" s="753"/>
      <c r="CW13" s="753"/>
      <c r="CX13" s="753"/>
      <c r="CY13" s="753"/>
      <c r="CZ13" s="753"/>
      <c r="DA13" s="753"/>
      <c r="DB13" s="753"/>
      <c r="DC13" s="753"/>
      <c r="DD13" s="753"/>
      <c r="DE13" s="753"/>
      <c r="DF13" s="753"/>
      <c r="DG13" s="753"/>
      <c r="DH13" s="753"/>
      <c r="DI13" s="753"/>
      <c r="DJ13" s="753"/>
      <c r="DK13" s="753"/>
      <c r="DL13" s="753"/>
      <c r="DM13" s="753"/>
      <c r="DN13" s="776"/>
      <c r="DO13" s="758"/>
      <c r="DP13" s="758"/>
      <c r="DQ13" s="758"/>
      <c r="DR13" s="753"/>
      <c r="DS13" s="778"/>
      <c r="DT13" s="753"/>
      <c r="DU13" s="758"/>
      <c r="DV13" s="758"/>
      <c r="DW13" s="819"/>
      <c r="DX13" s="758"/>
      <c r="DY13" s="758"/>
      <c r="DZ13" s="758"/>
      <c r="EA13" s="758"/>
      <c r="EB13" s="758"/>
      <c r="EC13" s="758"/>
      <c r="ED13" s="758"/>
      <c r="EE13" s="758"/>
      <c r="EF13" s="758"/>
      <c r="EG13" s="758"/>
      <c r="EH13" s="758"/>
      <c r="EI13" s="758"/>
      <c r="EJ13" s="758"/>
      <c r="EK13" s="758"/>
      <c r="EL13" s="758"/>
      <c r="EM13" s="758"/>
      <c r="EN13" s="758"/>
      <c r="EO13" s="758"/>
      <c r="EP13" s="758"/>
      <c r="EQ13" s="758"/>
      <c r="ER13" s="758"/>
      <c r="ES13" s="758"/>
      <c r="ET13" s="758"/>
      <c r="EU13" s="758"/>
      <c r="EV13" s="758"/>
      <c r="EW13" s="758"/>
      <c r="EX13" s="758"/>
      <c r="EY13" s="758"/>
      <c r="EZ13" s="758"/>
      <c r="FA13" s="758"/>
      <c r="FB13" s="758"/>
      <c r="FC13" s="758"/>
      <c r="FD13" s="758"/>
      <c r="FE13" s="758"/>
      <c r="FF13" s="758"/>
      <c r="FG13" s="758"/>
      <c r="FH13" s="758"/>
      <c r="FI13" s="758"/>
      <c r="FJ13" s="758"/>
      <c r="FK13" s="758"/>
      <c r="FL13" s="758"/>
      <c r="FM13" s="758"/>
      <c r="FN13" s="758"/>
      <c r="FO13" s="758"/>
      <c r="FP13" s="758"/>
      <c r="FQ13" s="758"/>
      <c r="FR13" s="758"/>
      <c r="FS13" s="758"/>
      <c r="FT13" s="758"/>
      <c r="FU13" s="758"/>
      <c r="FV13" s="758"/>
      <c r="FW13" s="758"/>
      <c r="FX13" s="758"/>
      <c r="FY13" s="758"/>
      <c r="FZ13" s="758"/>
      <c r="GA13" s="758"/>
      <c r="GB13" s="758"/>
      <c r="GC13" s="758"/>
      <c r="GD13" s="758"/>
      <c r="GE13" s="758"/>
      <c r="GF13" s="758"/>
      <c r="GG13" s="758"/>
      <c r="GH13" s="758"/>
      <c r="GI13" s="758"/>
      <c r="GJ13" s="758"/>
      <c r="GK13" s="758"/>
      <c r="GL13" s="758"/>
      <c r="GM13" s="758"/>
      <c r="GN13" s="758"/>
      <c r="GO13" s="758"/>
      <c r="GP13" s="758"/>
      <c r="GQ13" s="758"/>
      <c r="GR13" s="758"/>
      <c r="GS13" s="758"/>
      <c r="GT13" s="758"/>
      <c r="GU13" s="758"/>
      <c r="GV13" s="758"/>
      <c r="GW13" s="758"/>
      <c r="GX13" s="758"/>
      <c r="GY13" s="758"/>
      <c r="GZ13" s="758"/>
      <c r="HA13" s="758"/>
      <c r="HB13" s="758"/>
      <c r="HC13" s="758"/>
      <c r="HD13" s="758"/>
      <c r="HE13" s="758"/>
      <c r="HF13" s="758"/>
      <c r="HG13" s="758"/>
      <c r="HH13" s="758"/>
      <c r="HI13" s="758"/>
      <c r="HJ13" s="758"/>
      <c r="HK13" s="758"/>
      <c r="HL13" s="758"/>
      <c r="HM13" s="758"/>
      <c r="HN13" s="758"/>
      <c r="HO13" s="758"/>
      <c r="HP13" s="758"/>
      <c r="HQ13" s="758"/>
      <c r="HR13" s="758"/>
      <c r="HS13" s="758"/>
      <c r="HT13" s="758"/>
      <c r="HU13" s="758"/>
      <c r="HV13" s="758"/>
      <c r="HW13" s="758"/>
      <c r="HX13" s="758"/>
      <c r="HY13" s="758"/>
      <c r="HZ13" s="758"/>
      <c r="IA13" s="758"/>
      <c r="IB13" s="758"/>
      <c r="IC13" s="758"/>
      <c r="ID13" s="758"/>
      <c r="IE13" s="758"/>
      <c r="IF13" s="758"/>
      <c r="IG13" s="758"/>
      <c r="IH13" s="758"/>
      <c r="II13" s="758"/>
      <c r="IJ13" s="758"/>
      <c r="IK13" s="758"/>
      <c r="IL13" s="758"/>
      <c r="IM13" s="758"/>
      <c r="IN13" s="758"/>
      <c r="IO13" s="758"/>
      <c r="IP13" s="758"/>
      <c r="IQ13" s="758"/>
      <c r="IR13" s="758"/>
      <c r="IS13" s="758"/>
      <c r="IT13" s="758"/>
      <c r="IU13" s="758"/>
      <c r="IV13" s="758"/>
      <c r="IW13" s="758"/>
      <c r="IX13" s="758"/>
      <c r="IY13" s="758"/>
      <c r="IZ13" s="758"/>
      <c r="JA13" s="758"/>
      <c r="JB13" s="758"/>
      <c r="JC13" s="758"/>
      <c r="JD13" s="758"/>
      <c r="JE13" s="758"/>
      <c r="JF13" s="758"/>
      <c r="JG13" s="758"/>
      <c r="JH13" s="758"/>
      <c r="JI13" s="758"/>
      <c r="JJ13" s="758"/>
      <c r="JK13" s="758"/>
      <c r="JL13" s="758"/>
      <c r="JM13" s="758"/>
      <c r="JN13" s="758"/>
      <c r="JO13" s="758"/>
      <c r="JP13" s="758"/>
      <c r="JQ13" s="758"/>
      <c r="JR13" s="758"/>
      <c r="JS13" s="758"/>
      <c r="JT13" s="758"/>
      <c r="JU13" s="758"/>
      <c r="JV13" s="758"/>
      <c r="JW13" s="758"/>
      <c r="JX13" s="758"/>
      <c r="JY13" s="758"/>
      <c r="JZ13" s="758"/>
      <c r="KA13" s="758"/>
      <c r="KB13" s="758"/>
      <c r="KC13" s="758"/>
      <c r="KD13" s="758"/>
      <c r="KE13" s="758"/>
      <c r="KF13" s="758"/>
      <c r="KG13" s="758"/>
      <c r="KH13" s="758"/>
      <c r="KI13" s="758"/>
      <c r="KJ13" s="758"/>
      <c r="KK13" s="758"/>
      <c r="KL13" s="758"/>
      <c r="KM13" s="758"/>
      <c r="KN13" s="758"/>
      <c r="KO13" s="758"/>
      <c r="KP13" s="758"/>
      <c r="KQ13" s="758"/>
      <c r="KR13" s="758"/>
      <c r="KS13" s="758"/>
      <c r="KT13" s="758"/>
      <c r="KU13" s="758"/>
      <c r="KV13" s="758"/>
      <c r="KW13" s="758"/>
      <c r="KX13" s="758"/>
      <c r="KY13" s="758"/>
      <c r="KZ13" s="758"/>
      <c r="LA13" s="758"/>
      <c r="LB13" s="758"/>
      <c r="LC13" s="758"/>
      <c r="LD13" s="758"/>
      <c r="LE13" s="758"/>
      <c r="LF13" s="758"/>
      <c r="LG13" s="758"/>
      <c r="LH13" s="758"/>
      <c r="LI13" s="758"/>
      <c r="LJ13" s="758"/>
      <c r="LK13" s="758"/>
      <c r="LL13" s="758"/>
      <c r="LM13" s="758"/>
      <c r="LN13" s="758"/>
      <c r="LO13" s="758"/>
      <c r="LP13" s="758"/>
      <c r="LQ13" s="758"/>
      <c r="LR13" s="758"/>
      <c r="LS13" s="758"/>
      <c r="LT13" s="758"/>
      <c r="LU13" s="758"/>
      <c r="LV13" s="758"/>
      <c r="LW13" s="758"/>
      <c r="LX13" s="758"/>
      <c r="LY13" s="758"/>
      <c r="LZ13" s="758"/>
      <c r="MA13" s="758"/>
      <c r="MB13" s="758"/>
      <c r="MC13" s="758"/>
      <c r="MD13" s="758"/>
      <c r="ME13" s="758"/>
      <c r="MF13" s="758"/>
      <c r="MG13" s="758"/>
      <c r="MH13" s="758"/>
      <c r="MI13" s="758"/>
      <c r="MJ13" s="758"/>
      <c r="MK13" s="758"/>
      <c r="ML13" s="758"/>
      <c r="MM13" s="758"/>
      <c r="MN13" s="758"/>
      <c r="MO13" s="758"/>
      <c r="MP13" s="758"/>
      <c r="MQ13" s="758"/>
      <c r="MR13" s="758"/>
      <c r="MS13" s="758"/>
      <c r="MT13" s="758"/>
      <c r="MU13" s="758"/>
      <c r="MV13" s="758"/>
      <c r="MW13" s="758"/>
      <c r="MX13" s="758"/>
      <c r="MY13" s="758"/>
      <c r="MZ13" s="758"/>
      <c r="NA13" s="758"/>
      <c r="NB13" s="758"/>
      <c r="NC13" s="758"/>
      <c r="ND13" s="758"/>
      <c r="NE13" s="758"/>
    </row>
    <row r="14" spans="1:369" ht="12.75" customHeight="1">
      <c r="A14" s="857"/>
      <c r="B14" s="798" t="s">
        <v>1023</v>
      </c>
      <c r="C14" s="262">
        <v>20</v>
      </c>
      <c r="D14" s="852" t="s">
        <v>54</v>
      </c>
      <c r="E14" s="826"/>
      <c r="F14" s="826"/>
      <c r="G14" s="780"/>
      <c r="H14" s="780"/>
      <c r="I14" s="848"/>
      <c r="J14" s="1081"/>
      <c r="K14" s="1087" t="s">
        <v>35</v>
      </c>
      <c r="L14" s="1069" t="s">
        <v>146</v>
      </c>
      <c r="M14" s="1070"/>
      <c r="N14" s="1070"/>
      <c r="O14" s="1070"/>
      <c r="P14" s="1070"/>
      <c r="Q14" s="1071"/>
      <c r="R14" s="773"/>
      <c r="T14" s="1091" t="s">
        <v>1024</v>
      </c>
      <c r="U14" s="1092" t="s">
        <v>1025</v>
      </c>
      <c r="V14" s="1093">
        <v>1</v>
      </c>
      <c r="W14" s="1093">
        <v>2.5</v>
      </c>
      <c r="X14" s="1063"/>
      <c r="Y14" s="1088"/>
      <c r="Z14" s="1088"/>
      <c r="AA14" s="753"/>
      <c r="AB14" s="760"/>
      <c r="AC14" s="760"/>
      <c r="AD14" s="761"/>
      <c r="AE14" s="761"/>
      <c r="AF14" s="761"/>
      <c r="AG14" s="761"/>
      <c r="AH14" s="763"/>
      <c r="AI14" s="1001" t="s">
        <v>1026</v>
      </c>
      <c r="AJ14" s="1002"/>
      <c r="AK14" s="1003"/>
      <c r="AL14" s="1003"/>
      <c r="AM14" s="1004"/>
      <c r="AN14" s="1005"/>
      <c r="AO14" s="1006"/>
      <c r="AP14" s="753"/>
      <c r="AQ14" s="753"/>
      <c r="AR14" s="753"/>
      <c r="AS14" s="753"/>
      <c r="AT14" s="753"/>
      <c r="AU14" s="753"/>
      <c r="AV14" s="753"/>
      <c r="AW14" s="753"/>
      <c r="AX14" s="753"/>
      <c r="AY14" s="753"/>
      <c r="AZ14" s="753"/>
      <c r="BA14" s="753"/>
      <c r="BB14" s="753"/>
      <c r="BC14" s="753"/>
      <c r="BD14" s="753"/>
      <c r="BE14" s="753"/>
      <c r="BF14" s="753"/>
      <c r="BG14" s="753"/>
      <c r="BH14" s="753"/>
      <c r="BI14" s="753"/>
      <c r="BJ14" s="753"/>
      <c r="BK14" s="753"/>
      <c r="BL14" s="753"/>
      <c r="BM14" s="753"/>
      <c r="BN14" s="753"/>
      <c r="BO14" s="757"/>
      <c r="BP14" s="757"/>
      <c r="BQ14" s="757"/>
      <c r="BR14" s="757"/>
      <c r="BS14" s="757"/>
      <c r="BT14" s="757"/>
      <c r="BU14" s="757"/>
      <c r="BV14" s="757"/>
      <c r="BW14" s="757"/>
      <c r="BX14" s="757"/>
      <c r="BY14" s="757"/>
      <c r="BZ14" s="757"/>
      <c r="CA14" s="757"/>
      <c r="CB14" s="757"/>
      <c r="CC14" s="757"/>
      <c r="CD14" s="757"/>
      <c r="CE14" s="757"/>
      <c r="CF14" s="757"/>
      <c r="CG14" s="757"/>
      <c r="CH14" s="757"/>
      <c r="CI14" s="757"/>
      <c r="CJ14" s="757"/>
      <c r="CK14" s="757"/>
      <c r="CL14" s="757"/>
      <c r="CM14" s="757"/>
      <c r="CN14" s="757"/>
      <c r="CO14" s="757"/>
      <c r="CP14" s="757"/>
      <c r="CQ14" s="757"/>
      <c r="CR14" s="757"/>
      <c r="CS14" s="757"/>
      <c r="CT14" s="757"/>
      <c r="CU14" s="757"/>
      <c r="CV14" s="757"/>
      <c r="CW14" s="757"/>
      <c r="CX14" s="757"/>
      <c r="CY14" s="757"/>
      <c r="CZ14" s="757"/>
      <c r="DA14" s="757"/>
      <c r="DB14" s="757"/>
      <c r="DC14" s="757"/>
      <c r="DD14" s="757"/>
      <c r="DE14" s="757"/>
      <c r="DF14" s="757"/>
      <c r="DG14" s="757"/>
      <c r="DH14" s="757"/>
      <c r="DI14" s="757"/>
      <c r="DJ14" s="757"/>
      <c r="DK14" s="757"/>
      <c r="DL14" s="757"/>
      <c r="DM14" s="753"/>
      <c r="DN14" s="776"/>
      <c r="DO14" s="758"/>
      <c r="DP14" s="758"/>
      <c r="DQ14" s="758"/>
      <c r="DR14" s="753"/>
      <c r="DS14" s="778"/>
      <c r="DT14" s="753"/>
      <c r="DU14" s="758"/>
      <c r="DV14" s="758"/>
      <c r="DW14" s="819"/>
      <c r="DX14" s="758"/>
      <c r="DY14" s="758"/>
      <c r="DZ14" s="758"/>
      <c r="EA14" s="758"/>
      <c r="EB14" s="758"/>
      <c r="EC14" s="758"/>
      <c r="ED14" s="758"/>
      <c r="EE14" s="758"/>
      <c r="EF14" s="758"/>
      <c r="EG14" s="758"/>
      <c r="EH14" s="758"/>
      <c r="EI14" s="758"/>
      <c r="EJ14" s="758"/>
      <c r="EK14" s="758"/>
      <c r="EL14" s="758"/>
      <c r="EM14" s="758"/>
      <c r="EN14" s="758"/>
      <c r="EO14" s="758"/>
      <c r="EP14" s="758"/>
      <c r="EQ14" s="758"/>
      <c r="ER14" s="758"/>
      <c r="ES14" s="758"/>
      <c r="ET14" s="758"/>
      <c r="EU14" s="758"/>
      <c r="EV14" s="758"/>
      <c r="EW14" s="758"/>
      <c r="EX14" s="758"/>
      <c r="EY14" s="758"/>
      <c r="EZ14" s="758"/>
      <c r="FA14" s="758"/>
      <c r="FB14" s="758"/>
      <c r="FC14" s="758"/>
      <c r="FD14" s="758"/>
      <c r="FE14" s="758"/>
      <c r="FF14" s="758"/>
      <c r="FG14" s="758"/>
      <c r="FH14" s="758"/>
      <c r="FI14" s="758"/>
      <c r="FJ14" s="758"/>
      <c r="FK14" s="758"/>
      <c r="FL14" s="758"/>
      <c r="FM14" s="758"/>
      <c r="FN14" s="758"/>
      <c r="FO14" s="758"/>
      <c r="FP14" s="758"/>
      <c r="FQ14" s="758"/>
      <c r="FR14" s="758"/>
      <c r="FS14" s="758"/>
      <c r="FT14" s="758"/>
      <c r="FU14" s="758"/>
      <c r="FV14" s="758"/>
      <c r="FW14" s="758"/>
      <c r="FX14" s="758"/>
      <c r="FY14" s="758"/>
      <c r="FZ14" s="758"/>
      <c r="GA14" s="758"/>
      <c r="GB14" s="758"/>
      <c r="GC14" s="758"/>
      <c r="GD14" s="758"/>
      <c r="GE14" s="758"/>
      <c r="GF14" s="758"/>
      <c r="GG14" s="758"/>
      <c r="GH14" s="758"/>
      <c r="GI14" s="758"/>
      <c r="GJ14" s="758"/>
      <c r="GK14" s="758"/>
      <c r="GL14" s="758"/>
      <c r="GM14" s="758"/>
      <c r="GN14" s="758"/>
      <c r="GO14" s="758"/>
      <c r="GP14" s="758"/>
      <c r="GQ14" s="758"/>
      <c r="GR14" s="758"/>
      <c r="GS14" s="758"/>
      <c r="GT14" s="758"/>
      <c r="GU14" s="758"/>
      <c r="GV14" s="758"/>
      <c r="GW14" s="758"/>
      <c r="GX14" s="758"/>
      <c r="GY14" s="758"/>
      <c r="GZ14" s="758"/>
      <c r="HA14" s="758"/>
      <c r="HB14" s="758"/>
      <c r="HC14" s="758"/>
      <c r="HD14" s="758"/>
      <c r="HE14" s="758"/>
      <c r="HF14" s="758"/>
      <c r="HG14" s="758"/>
      <c r="HH14" s="758"/>
      <c r="HI14" s="758"/>
      <c r="HJ14" s="758"/>
      <c r="HK14" s="758"/>
      <c r="HL14" s="758"/>
      <c r="HM14" s="758"/>
      <c r="HN14" s="758"/>
      <c r="HO14" s="758"/>
      <c r="HP14" s="758"/>
      <c r="HQ14" s="758"/>
      <c r="HR14" s="758"/>
      <c r="HS14" s="758"/>
      <c r="HT14" s="758"/>
      <c r="HU14" s="758"/>
      <c r="HV14" s="758"/>
      <c r="HW14" s="758"/>
      <c r="HX14" s="758"/>
      <c r="HY14" s="758"/>
      <c r="HZ14" s="758"/>
      <c r="IA14" s="758"/>
      <c r="IB14" s="758"/>
      <c r="IC14" s="758"/>
      <c r="ID14" s="758"/>
      <c r="IE14" s="758"/>
      <c r="IF14" s="758"/>
      <c r="IG14" s="758"/>
      <c r="IH14" s="758"/>
      <c r="II14" s="758"/>
      <c r="IJ14" s="758"/>
      <c r="IK14" s="758"/>
      <c r="IL14" s="758"/>
      <c r="IM14" s="758"/>
      <c r="IN14" s="758"/>
      <c r="IO14" s="758"/>
      <c r="IP14" s="758"/>
      <c r="IQ14" s="758"/>
      <c r="IR14" s="758"/>
      <c r="IS14" s="758"/>
      <c r="IT14" s="758"/>
      <c r="IU14" s="758"/>
      <c r="IV14" s="758"/>
      <c r="IW14" s="758"/>
      <c r="IX14" s="758"/>
      <c r="IY14" s="758"/>
      <c r="IZ14" s="758"/>
      <c r="JA14" s="758"/>
      <c r="JB14" s="758"/>
      <c r="JC14" s="758"/>
      <c r="JD14" s="758"/>
      <c r="JE14" s="758"/>
      <c r="JF14" s="758"/>
      <c r="JG14" s="758"/>
      <c r="JH14" s="758"/>
      <c r="JI14" s="758"/>
      <c r="JJ14" s="758"/>
      <c r="JK14" s="758"/>
      <c r="JL14" s="758"/>
      <c r="JM14" s="758"/>
      <c r="JN14" s="758"/>
      <c r="JO14" s="758"/>
      <c r="JP14" s="758"/>
      <c r="JQ14" s="758"/>
      <c r="JR14" s="758"/>
      <c r="JS14" s="758"/>
      <c r="JT14" s="758"/>
      <c r="JU14" s="758"/>
      <c r="JV14" s="758"/>
      <c r="JW14" s="758"/>
      <c r="JX14" s="758"/>
      <c r="JY14" s="758"/>
      <c r="JZ14" s="758"/>
      <c r="KA14" s="758"/>
      <c r="KB14" s="758"/>
      <c r="KC14" s="758"/>
      <c r="KD14" s="758"/>
      <c r="KE14" s="758"/>
      <c r="KF14" s="758"/>
      <c r="KG14" s="758"/>
      <c r="KH14" s="758"/>
      <c r="KI14" s="758"/>
      <c r="KJ14" s="758"/>
      <c r="KK14" s="758"/>
      <c r="KL14" s="758"/>
      <c r="KM14" s="758"/>
      <c r="KN14" s="758"/>
      <c r="KO14" s="758"/>
      <c r="KP14" s="758"/>
      <c r="KQ14" s="758"/>
      <c r="KR14" s="758"/>
      <c r="KS14" s="758"/>
      <c r="KT14" s="758"/>
      <c r="KU14" s="758"/>
      <c r="KV14" s="758"/>
      <c r="KW14" s="758"/>
      <c r="KX14" s="758"/>
      <c r="KY14" s="758"/>
      <c r="KZ14" s="758"/>
      <c r="LA14" s="758"/>
      <c r="LB14" s="758"/>
      <c r="LC14" s="758"/>
      <c r="LD14" s="758"/>
      <c r="LE14" s="758"/>
      <c r="LF14" s="758"/>
      <c r="LG14" s="758"/>
      <c r="LH14" s="758"/>
      <c r="LI14" s="758"/>
      <c r="LJ14" s="758"/>
      <c r="LK14" s="758"/>
      <c r="LL14" s="758"/>
      <c r="LM14" s="758"/>
      <c r="LN14" s="758"/>
      <c r="LO14" s="758"/>
      <c r="LP14" s="758"/>
      <c r="LQ14" s="758"/>
      <c r="LR14" s="758"/>
      <c r="LS14" s="758"/>
      <c r="LT14" s="758"/>
      <c r="LU14" s="758"/>
      <c r="LV14" s="758"/>
      <c r="LW14" s="758"/>
      <c r="LX14" s="758"/>
      <c r="LY14" s="758"/>
      <c r="LZ14" s="758"/>
      <c r="MA14" s="758"/>
      <c r="MB14" s="758"/>
      <c r="MC14" s="758"/>
      <c r="MD14" s="758"/>
      <c r="ME14" s="758"/>
      <c r="MF14" s="758"/>
      <c r="MG14" s="758"/>
      <c r="MH14" s="758"/>
      <c r="MI14" s="758"/>
      <c r="MJ14" s="758"/>
      <c r="MK14" s="758"/>
      <c r="ML14" s="758"/>
      <c r="MM14" s="758"/>
      <c r="MN14" s="758"/>
      <c r="MO14" s="758"/>
      <c r="MP14" s="758"/>
      <c r="MQ14" s="758"/>
      <c r="MR14" s="758"/>
      <c r="MS14" s="758"/>
      <c r="MT14" s="758"/>
      <c r="MU14" s="758"/>
      <c r="MV14" s="758"/>
      <c r="MW14" s="758"/>
      <c r="MX14" s="758"/>
      <c r="MY14" s="758"/>
      <c r="MZ14" s="758"/>
      <c r="NA14" s="758"/>
      <c r="NB14" s="758"/>
      <c r="NC14" s="758"/>
      <c r="ND14" s="758"/>
      <c r="NE14" s="758"/>
    </row>
    <row r="15" spans="1:369" ht="12.75" customHeight="1">
      <c r="A15" s="857"/>
      <c r="B15" s="1056" t="s">
        <v>1027</v>
      </c>
      <c r="C15" s="264">
        <v>1</v>
      </c>
      <c r="D15" s="1058" t="s">
        <v>1165</v>
      </c>
      <c r="E15" s="780"/>
      <c r="F15" s="780"/>
      <c r="G15" s="780"/>
      <c r="H15" s="780"/>
      <c r="I15" s="829"/>
      <c r="J15" s="1081"/>
      <c r="K15" s="1087" t="s">
        <v>36</v>
      </c>
      <c r="L15" s="1072" t="s">
        <v>37</v>
      </c>
      <c r="M15" s="1073" t="s">
        <v>64</v>
      </c>
      <c r="N15" s="1073" t="s">
        <v>65</v>
      </c>
      <c r="O15" s="1073" t="s">
        <v>66</v>
      </c>
      <c r="P15" s="1073" t="s">
        <v>67</v>
      </c>
      <c r="Q15" s="1073" t="s">
        <v>68</v>
      </c>
      <c r="R15" s="1061" t="s">
        <v>56</v>
      </c>
      <c r="T15" s="1094" t="s">
        <v>1028</v>
      </c>
      <c r="U15" s="1095" t="s">
        <v>1029</v>
      </c>
      <c r="V15" s="1096">
        <v>1.25</v>
      </c>
      <c r="W15" s="1096">
        <v>1</v>
      </c>
      <c r="X15" s="1100"/>
      <c r="Y15" s="1088"/>
      <c r="Z15" s="1088"/>
      <c r="AA15" s="753"/>
      <c r="AB15" s="764"/>
      <c r="AC15" s="764"/>
      <c r="AD15" s="765"/>
      <c r="AE15" s="765"/>
      <c r="AF15" s="765"/>
      <c r="AG15" s="765"/>
      <c r="AH15" s="753"/>
      <c r="AI15" s="1007"/>
      <c r="AJ15" s="1008" t="s">
        <v>1030</v>
      </c>
      <c r="AK15" s="1009"/>
      <c r="AL15" s="1009"/>
      <c r="AM15" s="1010"/>
      <c r="AN15" s="1011">
        <v>1</v>
      </c>
      <c r="AO15" s="1019">
        <v>2.5</v>
      </c>
      <c r="AP15" s="753"/>
      <c r="AQ15" s="753"/>
      <c r="AR15" s="753"/>
      <c r="AS15" s="753"/>
      <c r="AT15" s="753"/>
      <c r="AU15" s="753"/>
      <c r="AV15" s="753"/>
      <c r="AW15" s="753"/>
      <c r="AX15" s="753"/>
      <c r="AY15" s="753"/>
      <c r="AZ15" s="753"/>
      <c r="BA15" s="753"/>
      <c r="BB15" s="753"/>
      <c r="BC15" s="753"/>
      <c r="BD15" s="753"/>
      <c r="BE15" s="753"/>
      <c r="BF15" s="753"/>
      <c r="BG15" s="753"/>
      <c r="BH15" s="753"/>
      <c r="BI15" s="753"/>
      <c r="BJ15" s="753"/>
      <c r="BK15" s="753"/>
      <c r="BL15" s="753"/>
      <c r="BM15" s="753"/>
      <c r="BN15" s="753"/>
      <c r="BO15" s="753"/>
      <c r="BP15" s="753"/>
      <c r="BQ15" s="753"/>
      <c r="BR15" s="753"/>
      <c r="BS15" s="753"/>
      <c r="BT15" s="753"/>
      <c r="BU15" s="753"/>
      <c r="BV15" s="753"/>
      <c r="BW15" s="753"/>
      <c r="BX15" s="753"/>
      <c r="BY15" s="753"/>
      <c r="BZ15" s="753"/>
      <c r="CA15" s="753"/>
      <c r="CB15" s="753"/>
      <c r="CC15" s="753"/>
      <c r="CD15" s="753"/>
      <c r="CE15" s="753"/>
      <c r="CF15" s="753"/>
      <c r="CG15" s="753"/>
      <c r="CH15" s="753"/>
      <c r="CI15" s="753"/>
      <c r="CJ15" s="753"/>
      <c r="CK15" s="753"/>
      <c r="CL15" s="753"/>
      <c r="CM15" s="753"/>
      <c r="CN15" s="753"/>
      <c r="CO15" s="753"/>
      <c r="CP15" s="753"/>
      <c r="CQ15" s="753"/>
      <c r="CR15" s="753"/>
      <c r="CS15" s="753"/>
      <c r="CT15" s="753"/>
      <c r="CU15" s="753"/>
      <c r="CV15" s="753"/>
      <c r="CW15" s="753"/>
      <c r="CX15" s="753"/>
      <c r="CY15" s="753"/>
      <c r="CZ15" s="753"/>
      <c r="DA15" s="753"/>
      <c r="DB15" s="753"/>
      <c r="DC15" s="753"/>
      <c r="DD15" s="753"/>
      <c r="DE15" s="753"/>
      <c r="DF15" s="753"/>
      <c r="DG15" s="753"/>
      <c r="DH15" s="753"/>
      <c r="DI15" s="753"/>
      <c r="DJ15" s="753"/>
      <c r="DK15" s="753"/>
      <c r="DL15" s="753"/>
      <c r="DM15" s="753"/>
      <c r="DN15" s="776"/>
      <c r="DO15" s="758"/>
      <c r="DP15" s="758"/>
      <c r="DQ15" s="758"/>
      <c r="DR15" s="753"/>
      <c r="DS15" s="778"/>
      <c r="DT15" s="753"/>
      <c r="DU15" s="758"/>
      <c r="DV15" s="758"/>
      <c r="DW15" s="819"/>
      <c r="DX15" s="758"/>
      <c r="DY15" s="758"/>
      <c r="DZ15" s="758"/>
      <c r="EA15" s="758"/>
      <c r="EB15" s="758"/>
      <c r="EC15" s="758"/>
      <c r="ED15" s="758"/>
      <c r="EE15" s="758"/>
      <c r="EF15" s="758"/>
      <c r="EG15" s="758"/>
      <c r="EH15" s="758"/>
      <c r="EI15" s="758"/>
      <c r="EJ15" s="758"/>
      <c r="EK15" s="758"/>
      <c r="EL15" s="758"/>
      <c r="EM15" s="758"/>
      <c r="EN15" s="758"/>
      <c r="EO15" s="758"/>
      <c r="EP15" s="758"/>
      <c r="EQ15" s="758"/>
      <c r="ER15" s="758"/>
      <c r="ES15" s="758"/>
      <c r="ET15" s="758"/>
      <c r="EU15" s="758"/>
      <c r="EV15" s="758"/>
      <c r="EW15" s="758"/>
      <c r="EX15" s="758"/>
      <c r="EY15" s="758"/>
      <c r="EZ15" s="758"/>
      <c r="FA15" s="758"/>
      <c r="FB15" s="758"/>
      <c r="FC15" s="758"/>
      <c r="FD15" s="758"/>
      <c r="FE15" s="758"/>
      <c r="FF15" s="758"/>
      <c r="FG15" s="758"/>
      <c r="FH15" s="758"/>
      <c r="FI15" s="758"/>
      <c r="FJ15" s="758"/>
      <c r="FK15" s="758"/>
      <c r="FL15" s="758"/>
      <c r="FM15" s="758"/>
      <c r="FN15" s="758"/>
      <c r="FO15" s="758"/>
      <c r="FP15" s="758"/>
      <c r="FQ15" s="758"/>
      <c r="FR15" s="758"/>
      <c r="FS15" s="758"/>
      <c r="FT15" s="758"/>
      <c r="FU15" s="758"/>
      <c r="FV15" s="758"/>
      <c r="FW15" s="758"/>
      <c r="FX15" s="758"/>
      <c r="FY15" s="758"/>
      <c r="FZ15" s="758"/>
      <c r="GA15" s="758"/>
      <c r="GB15" s="758"/>
      <c r="GC15" s="758"/>
      <c r="GD15" s="758"/>
      <c r="GE15" s="758"/>
      <c r="GF15" s="758"/>
      <c r="GG15" s="758"/>
      <c r="GH15" s="758"/>
      <c r="GI15" s="758"/>
      <c r="GJ15" s="758"/>
      <c r="GK15" s="758"/>
      <c r="GL15" s="758"/>
      <c r="GM15" s="758"/>
      <c r="GN15" s="758"/>
      <c r="GO15" s="758"/>
      <c r="GP15" s="758"/>
      <c r="GQ15" s="758"/>
      <c r="GR15" s="758"/>
      <c r="GS15" s="758"/>
      <c r="GT15" s="758"/>
      <c r="GU15" s="758"/>
      <c r="GV15" s="758"/>
      <c r="GW15" s="758"/>
      <c r="GX15" s="758"/>
      <c r="GY15" s="758"/>
      <c r="GZ15" s="758"/>
      <c r="HA15" s="758"/>
      <c r="HB15" s="758"/>
      <c r="HC15" s="758"/>
      <c r="HD15" s="758"/>
      <c r="HE15" s="758"/>
      <c r="HF15" s="758"/>
      <c r="HG15" s="758"/>
      <c r="HH15" s="758"/>
      <c r="HI15" s="758"/>
      <c r="HJ15" s="758"/>
      <c r="HK15" s="758"/>
      <c r="HL15" s="758"/>
      <c r="HM15" s="758"/>
      <c r="HN15" s="758"/>
      <c r="HO15" s="758"/>
      <c r="HP15" s="758"/>
      <c r="HQ15" s="758"/>
      <c r="HR15" s="758"/>
      <c r="HS15" s="758"/>
      <c r="HT15" s="758"/>
      <c r="HU15" s="758"/>
      <c r="HV15" s="758"/>
      <c r="HW15" s="758"/>
      <c r="HX15" s="758"/>
      <c r="HY15" s="758"/>
      <c r="HZ15" s="758"/>
      <c r="IA15" s="758"/>
      <c r="IB15" s="758"/>
      <c r="IC15" s="758"/>
      <c r="ID15" s="758"/>
      <c r="IE15" s="758"/>
      <c r="IF15" s="758"/>
      <c r="IG15" s="758"/>
      <c r="IH15" s="758"/>
      <c r="II15" s="758"/>
      <c r="IJ15" s="758"/>
      <c r="IK15" s="758"/>
      <c r="IL15" s="758"/>
      <c r="IM15" s="758"/>
      <c r="IN15" s="758"/>
      <c r="IO15" s="758"/>
      <c r="IP15" s="758"/>
      <c r="IQ15" s="758"/>
      <c r="IR15" s="758"/>
      <c r="IS15" s="758"/>
      <c r="IT15" s="758"/>
      <c r="IU15" s="758"/>
      <c r="IV15" s="758"/>
      <c r="IW15" s="758"/>
      <c r="IX15" s="758"/>
      <c r="IY15" s="758"/>
      <c r="IZ15" s="758"/>
      <c r="JA15" s="758"/>
      <c r="JB15" s="758"/>
      <c r="JC15" s="758"/>
      <c r="JD15" s="758"/>
      <c r="JE15" s="758"/>
      <c r="JF15" s="758"/>
      <c r="JG15" s="758"/>
      <c r="JH15" s="758"/>
      <c r="JI15" s="758"/>
      <c r="JJ15" s="758"/>
      <c r="JK15" s="758"/>
      <c r="JL15" s="758"/>
      <c r="JM15" s="758"/>
      <c r="JN15" s="758"/>
      <c r="JO15" s="758"/>
      <c r="JP15" s="758"/>
      <c r="JQ15" s="758"/>
      <c r="JR15" s="758"/>
      <c r="JS15" s="758"/>
      <c r="JT15" s="758"/>
      <c r="JU15" s="758"/>
      <c r="JV15" s="758"/>
      <c r="JW15" s="758"/>
      <c r="JX15" s="758"/>
      <c r="JY15" s="758"/>
      <c r="JZ15" s="758"/>
      <c r="KA15" s="758"/>
      <c r="KB15" s="758"/>
      <c r="KC15" s="758"/>
      <c r="KD15" s="758"/>
      <c r="KE15" s="758"/>
      <c r="KF15" s="758"/>
      <c r="KG15" s="758"/>
      <c r="KH15" s="758"/>
      <c r="KI15" s="758"/>
      <c r="KJ15" s="758"/>
      <c r="KK15" s="758"/>
      <c r="KL15" s="758"/>
      <c r="KM15" s="758"/>
      <c r="KN15" s="758"/>
      <c r="KO15" s="758"/>
      <c r="KP15" s="758"/>
      <c r="KQ15" s="758"/>
      <c r="KR15" s="758"/>
      <c r="KS15" s="758"/>
      <c r="KT15" s="758"/>
      <c r="KU15" s="758"/>
      <c r="KV15" s="758"/>
      <c r="KW15" s="758"/>
      <c r="KX15" s="758"/>
      <c r="KY15" s="758"/>
      <c r="KZ15" s="758"/>
      <c r="LA15" s="758"/>
      <c r="LB15" s="758"/>
      <c r="LC15" s="758"/>
      <c r="LD15" s="758"/>
      <c r="LE15" s="758"/>
      <c r="LF15" s="758"/>
      <c r="LG15" s="758"/>
      <c r="LH15" s="758"/>
      <c r="LI15" s="758"/>
      <c r="LJ15" s="758"/>
      <c r="LK15" s="758"/>
      <c r="LL15" s="758"/>
      <c r="LM15" s="758"/>
      <c r="LN15" s="758"/>
      <c r="LO15" s="758"/>
      <c r="LP15" s="758"/>
      <c r="LQ15" s="758"/>
      <c r="LR15" s="758"/>
      <c r="LS15" s="758"/>
      <c r="LT15" s="758"/>
      <c r="LU15" s="758"/>
      <c r="LV15" s="758"/>
      <c r="LW15" s="758"/>
      <c r="LX15" s="758"/>
      <c r="LY15" s="758"/>
      <c r="LZ15" s="758"/>
      <c r="MA15" s="758"/>
      <c r="MB15" s="758"/>
      <c r="MC15" s="758"/>
      <c r="MD15" s="758"/>
      <c r="ME15" s="758"/>
      <c r="MF15" s="758"/>
      <c r="MG15" s="758"/>
      <c r="MH15" s="758"/>
      <c r="MI15" s="758"/>
      <c r="MJ15" s="758"/>
      <c r="MK15" s="758"/>
      <c r="ML15" s="758"/>
      <c r="MM15" s="758"/>
      <c r="MN15" s="758"/>
      <c r="MO15" s="758"/>
      <c r="MP15" s="758"/>
      <c r="MQ15" s="758"/>
      <c r="MR15" s="758"/>
      <c r="MS15" s="758"/>
      <c r="MT15" s="758"/>
      <c r="MU15" s="758"/>
      <c r="MV15" s="758"/>
      <c r="MW15" s="758"/>
      <c r="MX15" s="758"/>
      <c r="MY15" s="758"/>
      <c r="MZ15" s="758"/>
      <c r="NA15" s="758"/>
      <c r="NB15" s="758"/>
      <c r="NC15" s="758"/>
      <c r="ND15" s="758"/>
      <c r="NE15" s="758"/>
    </row>
    <row r="16" spans="1:369" ht="12.75" customHeight="1">
      <c r="A16" s="857"/>
      <c r="B16" s="798" t="s">
        <v>1031</v>
      </c>
      <c r="C16" s="264">
        <v>300</v>
      </c>
      <c r="D16" s="852" t="s">
        <v>1166</v>
      </c>
      <c r="E16" s="780"/>
      <c r="F16" s="780"/>
      <c r="G16" s="780"/>
      <c r="H16" s="780"/>
      <c r="I16" s="829"/>
      <c r="J16" s="1081"/>
      <c r="K16" s="1083">
        <v>1</v>
      </c>
      <c r="L16" s="1075" t="s">
        <v>29</v>
      </c>
      <c r="M16" s="1075">
        <v>0.8</v>
      </c>
      <c r="N16" s="1075">
        <v>0.8</v>
      </c>
      <c r="O16" s="1075">
        <v>0.8</v>
      </c>
      <c r="P16" s="1075">
        <v>0.8</v>
      </c>
      <c r="Q16" s="1075">
        <v>0.8</v>
      </c>
      <c r="R16" s="1083">
        <v>0.8</v>
      </c>
      <c r="T16" s="1097" t="s">
        <v>1032</v>
      </c>
      <c r="U16" s="1098" t="s">
        <v>1033</v>
      </c>
      <c r="V16" s="1099">
        <v>1</v>
      </c>
      <c r="W16" s="1099">
        <v>2.5</v>
      </c>
      <c r="X16" s="1100"/>
      <c r="Y16" s="1088"/>
      <c r="Z16" s="1088"/>
      <c r="AA16" s="753"/>
      <c r="AB16" s="764"/>
      <c r="AC16" s="764"/>
      <c r="AD16" s="765"/>
      <c r="AE16" s="765"/>
      <c r="AF16" s="765"/>
      <c r="AG16" s="765"/>
      <c r="AH16" s="753"/>
      <c r="AI16" s="1007"/>
      <c r="AJ16" s="1008" t="s">
        <v>1034</v>
      </c>
      <c r="AK16" s="1009"/>
      <c r="AL16" s="1009"/>
      <c r="AM16" s="1010"/>
      <c r="AN16" s="1020">
        <v>1</v>
      </c>
      <c r="AO16" s="1021">
        <v>2.5</v>
      </c>
      <c r="AP16" s="753"/>
      <c r="AQ16" s="753"/>
      <c r="AR16" s="753"/>
      <c r="AS16" s="753"/>
      <c r="AT16" s="753"/>
      <c r="AU16" s="753"/>
      <c r="AV16" s="753"/>
      <c r="AW16" s="753"/>
      <c r="AX16" s="753"/>
      <c r="AY16" s="753"/>
      <c r="AZ16" s="753"/>
      <c r="BA16" s="753"/>
      <c r="BB16" s="753"/>
      <c r="BC16" s="753"/>
      <c r="BD16" s="753"/>
      <c r="BE16" s="753"/>
      <c r="BF16" s="753"/>
      <c r="BG16" s="753"/>
      <c r="BH16" s="753"/>
      <c r="BI16" s="753"/>
      <c r="BJ16" s="753"/>
      <c r="BK16" s="753"/>
      <c r="BL16" s="753"/>
      <c r="BM16" s="753"/>
      <c r="BN16" s="753"/>
      <c r="BO16" s="753"/>
      <c r="BP16" s="753"/>
      <c r="BQ16" s="753"/>
      <c r="BR16" s="753"/>
      <c r="BS16" s="753"/>
      <c r="BT16" s="753"/>
      <c r="BU16" s="753"/>
      <c r="BV16" s="753"/>
      <c r="BW16" s="753"/>
      <c r="BX16" s="753"/>
      <c r="BY16" s="753"/>
      <c r="BZ16" s="753"/>
      <c r="CA16" s="753"/>
      <c r="CB16" s="753"/>
      <c r="CC16" s="753"/>
      <c r="CD16" s="753"/>
      <c r="CE16" s="753"/>
      <c r="CF16" s="753"/>
      <c r="CG16" s="753"/>
      <c r="CH16" s="753"/>
      <c r="CI16" s="753"/>
      <c r="CJ16" s="753"/>
      <c r="CK16" s="753"/>
      <c r="CL16" s="753"/>
      <c r="CM16" s="753"/>
      <c r="CN16" s="753"/>
      <c r="CO16" s="753"/>
      <c r="CP16" s="753"/>
      <c r="CQ16" s="753"/>
      <c r="CR16" s="753"/>
      <c r="CS16" s="753"/>
      <c r="CT16" s="753"/>
      <c r="CU16" s="753"/>
      <c r="CV16" s="753"/>
      <c r="CW16" s="753"/>
      <c r="CX16" s="753"/>
      <c r="CY16" s="753"/>
      <c r="CZ16" s="753"/>
      <c r="DA16" s="753"/>
      <c r="DB16" s="753"/>
      <c r="DC16" s="753"/>
      <c r="DD16" s="753"/>
      <c r="DE16" s="753"/>
      <c r="DF16" s="753"/>
      <c r="DG16" s="753"/>
      <c r="DH16" s="753"/>
      <c r="DI16" s="753"/>
      <c r="DJ16" s="753"/>
      <c r="DK16" s="753"/>
      <c r="DL16" s="753"/>
      <c r="DM16" s="753"/>
      <c r="DN16" s="776"/>
      <c r="DO16" s="758"/>
      <c r="DP16" s="758"/>
      <c r="DQ16" s="758"/>
      <c r="DR16" s="753"/>
      <c r="DS16" s="778"/>
      <c r="DT16" s="753"/>
      <c r="DU16" s="758"/>
      <c r="DV16" s="758"/>
      <c r="DW16" s="819"/>
      <c r="DX16" s="758"/>
      <c r="DY16" s="758"/>
      <c r="DZ16" s="758"/>
      <c r="EA16" s="758"/>
      <c r="EB16" s="758"/>
      <c r="EC16" s="758"/>
      <c r="ED16" s="758"/>
      <c r="EE16" s="758"/>
      <c r="EF16" s="758"/>
      <c r="EG16" s="758"/>
      <c r="EH16" s="758"/>
      <c r="EI16" s="758"/>
      <c r="EJ16" s="758"/>
      <c r="EK16" s="758"/>
      <c r="EL16" s="758"/>
      <c r="EM16" s="758"/>
      <c r="EN16" s="758"/>
      <c r="EO16" s="758"/>
      <c r="EP16" s="758"/>
      <c r="EQ16" s="758"/>
      <c r="ER16" s="758"/>
      <c r="ES16" s="758"/>
      <c r="ET16" s="758"/>
      <c r="EU16" s="758"/>
      <c r="EV16" s="758"/>
      <c r="EW16" s="758"/>
      <c r="EX16" s="758"/>
      <c r="EY16" s="758"/>
      <c r="EZ16" s="758"/>
      <c r="FA16" s="758"/>
      <c r="FB16" s="758"/>
      <c r="FC16" s="758"/>
      <c r="FD16" s="758"/>
      <c r="FE16" s="758"/>
      <c r="FF16" s="758"/>
      <c r="FG16" s="758"/>
      <c r="FH16" s="758"/>
      <c r="FI16" s="758"/>
      <c r="FJ16" s="758"/>
      <c r="FK16" s="758"/>
      <c r="FL16" s="758"/>
      <c r="FM16" s="758"/>
      <c r="FN16" s="758"/>
      <c r="FO16" s="758"/>
      <c r="FP16" s="758"/>
      <c r="FQ16" s="758"/>
      <c r="FR16" s="758"/>
      <c r="FS16" s="758"/>
      <c r="FT16" s="758"/>
      <c r="FU16" s="758"/>
      <c r="FV16" s="758"/>
      <c r="FW16" s="758"/>
      <c r="FX16" s="758"/>
      <c r="FY16" s="758"/>
      <c r="FZ16" s="758"/>
      <c r="GA16" s="758"/>
      <c r="GB16" s="758"/>
      <c r="GC16" s="758"/>
      <c r="GD16" s="758"/>
      <c r="GE16" s="758"/>
      <c r="GF16" s="758"/>
      <c r="GG16" s="758"/>
      <c r="GH16" s="758"/>
      <c r="GI16" s="758"/>
      <c r="GJ16" s="758"/>
      <c r="GK16" s="758"/>
      <c r="GL16" s="758"/>
      <c r="GM16" s="758"/>
      <c r="GN16" s="758"/>
      <c r="GO16" s="758"/>
      <c r="GP16" s="758"/>
      <c r="GQ16" s="758"/>
      <c r="GR16" s="758"/>
      <c r="GS16" s="758"/>
      <c r="GT16" s="758"/>
      <c r="GU16" s="758"/>
      <c r="GV16" s="758"/>
      <c r="GW16" s="758"/>
      <c r="GX16" s="758"/>
      <c r="GY16" s="758"/>
      <c r="GZ16" s="758"/>
      <c r="HA16" s="758"/>
      <c r="HB16" s="758"/>
      <c r="HC16" s="758"/>
      <c r="HD16" s="758"/>
      <c r="HE16" s="758"/>
      <c r="HF16" s="758"/>
      <c r="HG16" s="758"/>
      <c r="HH16" s="758"/>
      <c r="HI16" s="758"/>
      <c r="HJ16" s="758"/>
      <c r="HK16" s="758"/>
      <c r="HL16" s="758"/>
      <c r="HM16" s="758"/>
      <c r="HN16" s="758"/>
      <c r="HO16" s="758"/>
      <c r="HP16" s="758"/>
      <c r="HQ16" s="758"/>
      <c r="HR16" s="758"/>
      <c r="HS16" s="758"/>
      <c r="HT16" s="758"/>
      <c r="HU16" s="758"/>
      <c r="HV16" s="758"/>
      <c r="HW16" s="758"/>
      <c r="HX16" s="758"/>
      <c r="HY16" s="758"/>
      <c r="HZ16" s="758"/>
      <c r="IA16" s="758"/>
      <c r="IB16" s="758"/>
      <c r="IC16" s="758"/>
      <c r="ID16" s="758"/>
      <c r="IE16" s="758"/>
      <c r="IF16" s="758"/>
      <c r="IG16" s="758"/>
      <c r="IH16" s="758"/>
      <c r="II16" s="758"/>
      <c r="IJ16" s="758"/>
      <c r="IK16" s="758"/>
      <c r="IL16" s="758"/>
      <c r="IM16" s="758"/>
      <c r="IN16" s="758"/>
      <c r="IO16" s="758"/>
      <c r="IP16" s="758"/>
      <c r="IQ16" s="758"/>
      <c r="IR16" s="758"/>
      <c r="IS16" s="758"/>
      <c r="IT16" s="758"/>
      <c r="IU16" s="758"/>
      <c r="IV16" s="758"/>
      <c r="IW16" s="758"/>
      <c r="IX16" s="758"/>
      <c r="IY16" s="758"/>
      <c r="IZ16" s="758"/>
      <c r="JA16" s="758"/>
      <c r="JB16" s="758"/>
      <c r="JC16" s="758"/>
      <c r="JD16" s="758"/>
      <c r="JE16" s="758"/>
      <c r="JF16" s="758"/>
      <c r="JG16" s="758"/>
      <c r="JH16" s="758"/>
      <c r="JI16" s="758"/>
      <c r="JJ16" s="758"/>
      <c r="JK16" s="758"/>
      <c r="JL16" s="758"/>
      <c r="JM16" s="758"/>
      <c r="JN16" s="758"/>
      <c r="JO16" s="758"/>
      <c r="JP16" s="758"/>
      <c r="JQ16" s="758"/>
      <c r="JR16" s="758"/>
      <c r="JS16" s="758"/>
      <c r="JT16" s="758"/>
      <c r="JU16" s="758"/>
      <c r="JV16" s="758"/>
      <c r="JW16" s="758"/>
      <c r="JX16" s="758"/>
      <c r="JY16" s="758"/>
      <c r="JZ16" s="758"/>
      <c r="KA16" s="758"/>
      <c r="KB16" s="758"/>
      <c r="KC16" s="758"/>
      <c r="KD16" s="758"/>
      <c r="KE16" s="758"/>
      <c r="KF16" s="758"/>
      <c r="KG16" s="758"/>
      <c r="KH16" s="758"/>
      <c r="KI16" s="758"/>
      <c r="KJ16" s="758"/>
      <c r="KK16" s="758"/>
      <c r="KL16" s="758"/>
      <c r="KM16" s="758"/>
      <c r="KN16" s="758"/>
      <c r="KO16" s="758"/>
      <c r="KP16" s="758"/>
      <c r="KQ16" s="758"/>
      <c r="KR16" s="758"/>
      <c r="KS16" s="758"/>
      <c r="KT16" s="758"/>
      <c r="KU16" s="758"/>
      <c r="KV16" s="758"/>
      <c r="KW16" s="758"/>
      <c r="KX16" s="758"/>
      <c r="KY16" s="758"/>
      <c r="KZ16" s="758"/>
      <c r="LA16" s="758"/>
      <c r="LB16" s="758"/>
      <c r="LC16" s="758"/>
      <c r="LD16" s="758"/>
      <c r="LE16" s="758"/>
      <c r="LF16" s="758"/>
      <c r="LG16" s="758"/>
      <c r="LH16" s="758"/>
      <c r="LI16" s="758"/>
      <c r="LJ16" s="758"/>
      <c r="LK16" s="758"/>
      <c r="LL16" s="758"/>
      <c r="LM16" s="758"/>
      <c r="LN16" s="758"/>
      <c r="LO16" s="758"/>
      <c r="LP16" s="758"/>
      <c r="LQ16" s="758"/>
      <c r="LR16" s="758"/>
      <c r="LS16" s="758"/>
      <c r="LT16" s="758"/>
      <c r="LU16" s="758"/>
      <c r="LV16" s="758"/>
      <c r="LW16" s="758"/>
      <c r="LX16" s="758"/>
      <c r="LY16" s="758"/>
      <c r="LZ16" s="758"/>
      <c r="MA16" s="758"/>
      <c r="MB16" s="758"/>
      <c r="MC16" s="758"/>
      <c r="MD16" s="758"/>
      <c r="ME16" s="758"/>
      <c r="MF16" s="758"/>
      <c r="MG16" s="758"/>
      <c r="MH16" s="758"/>
      <c r="MI16" s="758"/>
      <c r="MJ16" s="758"/>
      <c r="MK16" s="758"/>
      <c r="ML16" s="758"/>
      <c r="MM16" s="758"/>
      <c r="MN16" s="758"/>
      <c r="MO16" s="758"/>
      <c r="MP16" s="758"/>
      <c r="MQ16" s="758"/>
      <c r="MR16" s="758"/>
      <c r="MS16" s="758"/>
      <c r="MT16" s="758"/>
      <c r="MU16" s="758"/>
      <c r="MV16" s="758"/>
      <c r="MW16" s="758"/>
      <c r="MX16" s="758"/>
      <c r="MY16" s="758"/>
      <c r="MZ16" s="758"/>
      <c r="NA16" s="758"/>
      <c r="NB16" s="758"/>
      <c r="NC16" s="758"/>
      <c r="ND16" s="758"/>
      <c r="NE16" s="758"/>
    </row>
    <row r="17" spans="1:369" ht="12.75" customHeight="1">
      <c r="A17" s="857"/>
      <c r="B17" s="784" t="s">
        <v>1035</v>
      </c>
      <c r="C17" s="292" t="s">
        <v>965</v>
      </c>
      <c r="D17" s="1431" t="str">
        <f>VLOOKUP($C$17,$T$6:$W$33,2,FALSE)&amp;" (ASCE 7-10 Table 13.5-1)"</f>
        <v>Other flexible components - limited deformability elements and attachments (ASCE 7-10 Table 13.5-1)</v>
      </c>
      <c r="E17" s="1432"/>
      <c r="F17" s="1432"/>
      <c r="G17" s="1432"/>
      <c r="H17" s="1432"/>
      <c r="I17" s="1433"/>
      <c r="J17" s="1081"/>
      <c r="K17" s="1083">
        <v>1.5</v>
      </c>
      <c r="L17" s="1082" t="s">
        <v>31</v>
      </c>
      <c r="M17" s="1082">
        <v>1</v>
      </c>
      <c r="N17" s="1082">
        <v>1</v>
      </c>
      <c r="O17" s="1082">
        <v>1</v>
      </c>
      <c r="P17" s="1082">
        <v>1</v>
      </c>
      <c r="Q17" s="1082">
        <v>1</v>
      </c>
      <c r="R17" s="1083">
        <v>1</v>
      </c>
      <c r="T17" s="1094" t="s">
        <v>1036</v>
      </c>
      <c r="U17" s="1095" t="s">
        <v>1037</v>
      </c>
      <c r="V17" s="1096">
        <v>1</v>
      </c>
      <c r="W17" s="1096">
        <v>1.5</v>
      </c>
      <c r="X17" s="1100"/>
      <c r="Y17" s="1088"/>
      <c r="Z17" s="1088"/>
      <c r="AA17" s="753"/>
      <c r="AB17" s="754"/>
      <c r="AC17" s="755"/>
      <c r="AD17" s="755"/>
      <c r="AE17" s="756"/>
      <c r="AF17" s="766"/>
      <c r="AG17" s="766"/>
      <c r="AH17" s="753"/>
      <c r="AI17" s="1013"/>
      <c r="AJ17" s="1014" t="s">
        <v>1038</v>
      </c>
      <c r="AK17" s="1015"/>
      <c r="AL17" s="1015"/>
      <c r="AM17" s="1016"/>
      <c r="AN17" s="1024">
        <v>1.25</v>
      </c>
      <c r="AO17" s="1023">
        <v>1</v>
      </c>
      <c r="AP17" s="757"/>
      <c r="AQ17" s="753"/>
      <c r="AR17" s="753"/>
      <c r="AS17" s="753"/>
      <c r="AT17" s="753"/>
      <c r="AU17" s="753"/>
      <c r="AV17" s="753"/>
      <c r="AW17" s="753"/>
      <c r="AX17" s="753"/>
      <c r="AY17" s="753"/>
      <c r="AZ17" s="753"/>
      <c r="BA17" s="753"/>
      <c r="BB17" s="753"/>
      <c r="BC17" s="753"/>
      <c r="BD17" s="753"/>
      <c r="BE17" s="753"/>
      <c r="BF17" s="753"/>
      <c r="BG17" s="753"/>
      <c r="BH17" s="753"/>
      <c r="BI17" s="753"/>
      <c r="BJ17" s="753"/>
      <c r="BK17" s="753"/>
      <c r="BL17" s="753"/>
      <c r="BM17" s="753"/>
      <c r="BN17" s="753"/>
      <c r="BO17" s="753"/>
      <c r="BP17" s="753"/>
      <c r="BQ17" s="753"/>
      <c r="BR17" s="753"/>
      <c r="BS17" s="753"/>
      <c r="BT17" s="753"/>
      <c r="BU17" s="753"/>
      <c r="BV17" s="753"/>
      <c r="BW17" s="753"/>
      <c r="BX17" s="753"/>
      <c r="BY17" s="753"/>
      <c r="BZ17" s="753"/>
      <c r="CA17" s="753"/>
      <c r="CB17" s="753"/>
      <c r="CC17" s="753"/>
      <c r="CD17" s="753"/>
      <c r="CE17" s="753"/>
      <c r="CF17" s="753"/>
      <c r="CG17" s="753"/>
      <c r="CH17" s="753"/>
      <c r="CI17" s="753"/>
      <c r="CJ17" s="753"/>
      <c r="CK17" s="753"/>
      <c r="CL17" s="753"/>
      <c r="CM17" s="753"/>
      <c r="CN17" s="753"/>
      <c r="CO17" s="753"/>
      <c r="CP17" s="753"/>
      <c r="CQ17" s="753"/>
      <c r="CR17" s="753"/>
      <c r="CS17" s="753"/>
      <c r="CT17" s="753"/>
      <c r="CU17" s="753"/>
      <c r="CV17" s="753"/>
      <c r="CW17" s="753"/>
      <c r="CX17" s="753"/>
      <c r="CY17" s="753"/>
      <c r="CZ17" s="753"/>
      <c r="DA17" s="753"/>
      <c r="DB17" s="753"/>
      <c r="DC17" s="753"/>
      <c r="DD17" s="753"/>
      <c r="DE17" s="753"/>
      <c r="DF17" s="753"/>
      <c r="DG17" s="753"/>
      <c r="DH17" s="753"/>
      <c r="DI17" s="753"/>
      <c r="DJ17" s="753"/>
      <c r="DK17" s="753"/>
      <c r="DL17" s="753"/>
      <c r="DM17" s="753"/>
      <c r="DN17" s="776"/>
      <c r="DO17" s="758"/>
      <c r="DP17" s="758"/>
      <c r="DQ17" s="758"/>
      <c r="DR17" s="753"/>
      <c r="DS17" s="778"/>
      <c r="DT17" s="753"/>
      <c r="DU17" s="758"/>
      <c r="DV17" s="758"/>
      <c r="DW17" s="819"/>
      <c r="DX17" s="758"/>
      <c r="DY17" s="758"/>
      <c r="DZ17" s="758"/>
      <c r="EA17" s="758"/>
      <c r="EB17" s="758"/>
      <c r="EC17" s="758"/>
      <c r="ED17" s="758"/>
      <c r="EE17" s="758"/>
      <c r="EF17" s="758"/>
      <c r="EG17" s="758"/>
      <c r="EH17" s="758"/>
      <c r="EI17" s="758"/>
      <c r="EJ17" s="758"/>
      <c r="EK17" s="758"/>
      <c r="EL17" s="758"/>
      <c r="EM17" s="758"/>
      <c r="EN17" s="758"/>
      <c r="EO17" s="758"/>
      <c r="EP17" s="758"/>
      <c r="EQ17" s="758"/>
      <c r="ER17" s="758"/>
      <c r="ES17" s="758"/>
      <c r="ET17" s="758"/>
      <c r="EU17" s="758"/>
      <c r="EV17" s="758"/>
      <c r="EW17" s="758"/>
      <c r="EX17" s="758"/>
      <c r="EY17" s="758"/>
      <c r="EZ17" s="758"/>
      <c r="FA17" s="758"/>
      <c r="FB17" s="758"/>
      <c r="FC17" s="758"/>
      <c r="FD17" s="758"/>
      <c r="FE17" s="758"/>
      <c r="FF17" s="758"/>
      <c r="FG17" s="758"/>
      <c r="FH17" s="758"/>
      <c r="FI17" s="758"/>
      <c r="FJ17" s="758"/>
      <c r="FK17" s="758"/>
      <c r="FL17" s="758"/>
      <c r="FM17" s="758"/>
      <c r="FN17" s="758"/>
      <c r="FO17" s="758"/>
      <c r="FP17" s="758"/>
      <c r="FQ17" s="758"/>
      <c r="FR17" s="758"/>
      <c r="FS17" s="758"/>
      <c r="FT17" s="758"/>
      <c r="FU17" s="758"/>
      <c r="FV17" s="758"/>
      <c r="FW17" s="758"/>
      <c r="FX17" s="758"/>
      <c r="FY17" s="758"/>
      <c r="FZ17" s="758"/>
      <c r="GA17" s="758"/>
      <c r="GB17" s="758"/>
      <c r="GC17" s="758"/>
      <c r="GD17" s="758"/>
      <c r="GE17" s="758"/>
      <c r="GF17" s="758"/>
      <c r="GG17" s="758"/>
      <c r="GH17" s="758"/>
      <c r="GI17" s="758"/>
      <c r="GJ17" s="758"/>
      <c r="GK17" s="758"/>
      <c r="GL17" s="758"/>
      <c r="GM17" s="758"/>
      <c r="GN17" s="758"/>
      <c r="GO17" s="758"/>
      <c r="GP17" s="758"/>
      <c r="GQ17" s="758"/>
      <c r="GR17" s="758"/>
      <c r="GS17" s="758"/>
      <c r="GT17" s="758"/>
      <c r="GU17" s="758"/>
      <c r="GV17" s="758"/>
      <c r="GW17" s="758"/>
      <c r="GX17" s="758"/>
      <c r="GY17" s="758"/>
      <c r="GZ17" s="758"/>
      <c r="HA17" s="758"/>
      <c r="HB17" s="758"/>
      <c r="HC17" s="758"/>
      <c r="HD17" s="758"/>
      <c r="HE17" s="758"/>
      <c r="HF17" s="758"/>
      <c r="HG17" s="758"/>
      <c r="HH17" s="758"/>
      <c r="HI17" s="758"/>
      <c r="HJ17" s="758"/>
      <c r="HK17" s="758"/>
      <c r="HL17" s="758"/>
      <c r="HM17" s="758"/>
      <c r="HN17" s="758"/>
      <c r="HO17" s="758"/>
      <c r="HP17" s="758"/>
      <c r="HQ17" s="758"/>
      <c r="HR17" s="758"/>
      <c r="HS17" s="758"/>
      <c r="HT17" s="758"/>
      <c r="HU17" s="758"/>
      <c r="HV17" s="758"/>
      <c r="HW17" s="758"/>
      <c r="HX17" s="758"/>
      <c r="HY17" s="758"/>
      <c r="HZ17" s="758"/>
      <c r="IA17" s="758"/>
      <c r="IB17" s="758"/>
      <c r="IC17" s="758"/>
      <c r="ID17" s="758"/>
      <c r="IE17" s="758"/>
      <c r="IF17" s="758"/>
      <c r="IG17" s="758"/>
      <c r="IH17" s="758"/>
      <c r="II17" s="758"/>
      <c r="IJ17" s="758"/>
      <c r="IK17" s="758"/>
      <c r="IL17" s="758"/>
      <c r="IM17" s="758"/>
      <c r="IN17" s="758"/>
      <c r="IO17" s="758"/>
      <c r="IP17" s="758"/>
      <c r="IQ17" s="758"/>
      <c r="IR17" s="758"/>
      <c r="IS17" s="758"/>
      <c r="IT17" s="758"/>
      <c r="IU17" s="758"/>
      <c r="IV17" s="758"/>
      <c r="IW17" s="758"/>
      <c r="IX17" s="758"/>
      <c r="IY17" s="758"/>
      <c r="IZ17" s="758"/>
      <c r="JA17" s="758"/>
      <c r="JB17" s="758"/>
      <c r="JC17" s="758"/>
      <c r="JD17" s="758"/>
      <c r="JE17" s="758"/>
      <c r="JF17" s="758"/>
      <c r="JG17" s="758"/>
      <c r="JH17" s="758"/>
      <c r="JI17" s="758"/>
      <c r="JJ17" s="758"/>
      <c r="JK17" s="758"/>
      <c r="JL17" s="758"/>
      <c r="JM17" s="758"/>
      <c r="JN17" s="758"/>
      <c r="JO17" s="758"/>
      <c r="JP17" s="758"/>
      <c r="JQ17" s="758"/>
      <c r="JR17" s="758"/>
      <c r="JS17" s="758"/>
      <c r="JT17" s="758"/>
      <c r="JU17" s="758"/>
      <c r="JV17" s="758"/>
      <c r="JW17" s="758"/>
      <c r="JX17" s="758"/>
      <c r="JY17" s="758"/>
      <c r="JZ17" s="758"/>
      <c r="KA17" s="758"/>
      <c r="KB17" s="758"/>
      <c r="KC17" s="758"/>
      <c r="KD17" s="758"/>
      <c r="KE17" s="758"/>
      <c r="KF17" s="758"/>
      <c r="KG17" s="758"/>
      <c r="KH17" s="758"/>
      <c r="KI17" s="758"/>
      <c r="KJ17" s="758"/>
      <c r="KK17" s="758"/>
      <c r="KL17" s="758"/>
      <c r="KM17" s="758"/>
      <c r="KN17" s="758"/>
      <c r="KO17" s="758"/>
      <c r="KP17" s="758"/>
      <c r="KQ17" s="758"/>
      <c r="KR17" s="758"/>
      <c r="KS17" s="758"/>
      <c r="KT17" s="758"/>
      <c r="KU17" s="758"/>
      <c r="KV17" s="758"/>
      <c r="KW17" s="758"/>
      <c r="KX17" s="758"/>
      <c r="KY17" s="758"/>
      <c r="KZ17" s="758"/>
      <c r="LA17" s="758"/>
      <c r="LB17" s="758"/>
      <c r="LC17" s="758"/>
      <c r="LD17" s="758"/>
      <c r="LE17" s="758"/>
      <c r="LF17" s="758"/>
      <c r="LG17" s="758"/>
      <c r="LH17" s="758"/>
      <c r="LI17" s="758"/>
      <c r="LJ17" s="758"/>
      <c r="LK17" s="758"/>
      <c r="LL17" s="758"/>
      <c r="LM17" s="758"/>
      <c r="LN17" s="758"/>
      <c r="LO17" s="758"/>
      <c r="LP17" s="758"/>
      <c r="LQ17" s="758"/>
      <c r="LR17" s="758"/>
      <c r="LS17" s="758"/>
      <c r="LT17" s="758"/>
      <c r="LU17" s="758"/>
      <c r="LV17" s="758"/>
      <c r="LW17" s="758"/>
      <c r="LX17" s="758"/>
      <c r="LY17" s="758"/>
      <c r="LZ17" s="758"/>
      <c r="MA17" s="758"/>
      <c r="MB17" s="758"/>
      <c r="MC17" s="758"/>
      <c r="MD17" s="758"/>
      <c r="ME17" s="758"/>
      <c r="MF17" s="758"/>
      <c r="MG17" s="758"/>
      <c r="MH17" s="758"/>
      <c r="MI17" s="758"/>
      <c r="MJ17" s="758"/>
      <c r="MK17" s="758"/>
      <c r="ML17" s="758"/>
      <c r="MM17" s="758"/>
      <c r="MN17" s="758"/>
      <c r="MO17" s="758"/>
      <c r="MP17" s="758"/>
      <c r="MQ17" s="758"/>
      <c r="MR17" s="758"/>
      <c r="MS17" s="758"/>
      <c r="MT17" s="758"/>
      <c r="MU17" s="758"/>
      <c r="MV17" s="758"/>
      <c r="MW17" s="758"/>
      <c r="MX17" s="758"/>
      <c r="MY17" s="758"/>
      <c r="MZ17" s="758"/>
      <c r="NA17" s="758"/>
      <c r="NB17" s="758"/>
      <c r="NC17" s="758"/>
      <c r="ND17" s="758"/>
      <c r="NE17" s="758"/>
    </row>
    <row r="18" spans="1:369" ht="12.75" customHeight="1">
      <c r="A18" s="857"/>
      <c r="B18" s="780"/>
      <c r="C18" s="89"/>
      <c r="D18" s="1432"/>
      <c r="E18" s="1432"/>
      <c r="F18" s="1432"/>
      <c r="G18" s="1432"/>
      <c r="H18" s="1432"/>
      <c r="I18" s="1433"/>
      <c r="J18" s="1081"/>
      <c r="K18" s="1065" t="s">
        <v>997</v>
      </c>
      <c r="L18" s="1082" t="s">
        <v>33</v>
      </c>
      <c r="M18" s="1082">
        <v>1.7</v>
      </c>
      <c r="N18" s="1082">
        <v>1.6</v>
      </c>
      <c r="O18" s="1082">
        <v>1.5</v>
      </c>
      <c r="P18" s="1082">
        <v>1.4</v>
      </c>
      <c r="Q18" s="1082">
        <v>1.3</v>
      </c>
      <c r="R18" s="1087">
        <f>IF($C$12&lt;=0.1,1.7,IF(AND($C$12&gt;0.1,$C$12&lt;=0.2),(1.6-1.7)*($C$12-0.1)/(0.2-0.1)+1.7,IF(AND($C$12&gt;0.2,$C$12&lt;=0.3),(1.5-1.6)*($C$12-0.2)/(0.3-0.2)+1.6,IF(AND($C$12&gt;0.3,$C$12&lt;=0.4),(1.4-1.5)*($C$12-0.3)/(0.4-0.3)+1.5,IF(AND($C$12&gt;0.4,$C$12&lt;=0.5),(1.3-1.4)*($C$12-0.4)/(0.5-0.4)+1.4,1.3)))))</f>
        <v>1.522</v>
      </c>
      <c r="T18" s="1101" t="s">
        <v>1039</v>
      </c>
      <c r="U18" s="1102" t="s">
        <v>1040</v>
      </c>
      <c r="V18" s="1103">
        <v>2.5</v>
      </c>
      <c r="W18" s="1103">
        <v>3.5</v>
      </c>
      <c r="X18" s="1100"/>
      <c r="Y18" s="1088"/>
      <c r="Z18" s="1088"/>
      <c r="AA18" s="753"/>
      <c r="AB18" s="1421"/>
      <c r="AC18" s="1422"/>
      <c r="AD18" s="1422"/>
      <c r="AE18" s="1422"/>
      <c r="AF18" s="1422"/>
      <c r="AG18" s="1422"/>
      <c r="AH18" s="753"/>
      <c r="AI18" s="1001" t="s">
        <v>1041</v>
      </c>
      <c r="AJ18" s="1002"/>
      <c r="AK18" s="1003"/>
      <c r="AL18" s="1003"/>
      <c r="AM18" s="1004"/>
      <c r="AN18" s="1005"/>
      <c r="AO18" s="1006"/>
      <c r="AP18" s="757"/>
      <c r="AQ18" s="753"/>
      <c r="AR18" s="753"/>
      <c r="AS18" s="753"/>
      <c r="AT18" s="753"/>
      <c r="AU18" s="753"/>
      <c r="AV18" s="753"/>
      <c r="AW18" s="753"/>
      <c r="AX18" s="753"/>
      <c r="AY18" s="753"/>
      <c r="AZ18" s="753"/>
      <c r="BA18" s="753"/>
      <c r="BB18" s="753"/>
      <c r="BC18" s="753"/>
      <c r="BD18" s="753"/>
      <c r="BE18" s="753"/>
      <c r="BF18" s="753"/>
      <c r="BG18" s="753"/>
      <c r="BH18" s="753"/>
      <c r="BI18" s="753"/>
      <c r="BJ18" s="753"/>
      <c r="BK18" s="753"/>
      <c r="BL18" s="753"/>
      <c r="BM18" s="753"/>
      <c r="BN18" s="753"/>
      <c r="BO18" s="753"/>
      <c r="BP18" s="753"/>
      <c r="BQ18" s="753"/>
      <c r="BR18" s="753"/>
      <c r="BS18" s="753"/>
      <c r="BT18" s="753"/>
      <c r="BU18" s="753"/>
      <c r="BV18" s="753"/>
      <c r="BW18" s="753"/>
      <c r="BX18" s="753"/>
      <c r="BY18" s="753"/>
      <c r="BZ18" s="753"/>
      <c r="CA18" s="753"/>
      <c r="CB18" s="753"/>
      <c r="CC18" s="753"/>
      <c r="CD18" s="753"/>
      <c r="CE18" s="753"/>
      <c r="CF18" s="753"/>
      <c r="CG18" s="753"/>
      <c r="CH18" s="753"/>
      <c r="CI18" s="753"/>
      <c r="CJ18" s="753"/>
      <c r="CK18" s="753"/>
      <c r="CL18" s="753"/>
      <c r="CM18" s="753"/>
      <c r="CN18" s="753"/>
      <c r="CO18" s="753"/>
      <c r="CP18" s="753"/>
      <c r="CQ18" s="753"/>
      <c r="CR18" s="753"/>
      <c r="CS18" s="753"/>
      <c r="CT18" s="753"/>
      <c r="CU18" s="753"/>
      <c r="CV18" s="753"/>
      <c r="CW18" s="753"/>
      <c r="CX18" s="753"/>
      <c r="CY18" s="753"/>
      <c r="CZ18" s="753"/>
      <c r="DA18" s="753"/>
      <c r="DB18" s="753"/>
      <c r="DC18" s="753"/>
      <c r="DD18" s="753"/>
      <c r="DE18" s="753"/>
      <c r="DF18" s="753"/>
      <c r="DG18" s="753"/>
      <c r="DH18" s="753"/>
      <c r="DI18" s="753"/>
      <c r="DJ18" s="753"/>
      <c r="DK18" s="753"/>
      <c r="DL18" s="753"/>
      <c r="DM18" s="753"/>
      <c r="DN18" s="767"/>
      <c r="DO18" s="753"/>
      <c r="DP18" s="753"/>
      <c r="DQ18" s="753"/>
      <c r="DR18" s="753"/>
      <c r="DS18" s="778"/>
      <c r="DT18" s="753"/>
      <c r="DU18" s="758"/>
      <c r="DV18" s="758"/>
      <c r="DW18" s="819"/>
      <c r="DX18" s="758"/>
      <c r="DY18" s="758"/>
      <c r="DZ18" s="758"/>
      <c r="EA18" s="758"/>
      <c r="EB18" s="758"/>
      <c r="EC18" s="758"/>
      <c r="ED18" s="758"/>
      <c r="EE18" s="758"/>
      <c r="EF18" s="758"/>
      <c r="EG18" s="758"/>
      <c r="EH18" s="758"/>
      <c r="EI18" s="758"/>
      <c r="EJ18" s="758"/>
      <c r="EK18" s="758"/>
      <c r="EL18" s="758"/>
      <c r="EM18" s="758"/>
      <c r="EN18" s="758"/>
      <c r="EO18" s="758"/>
      <c r="EP18" s="758"/>
      <c r="EQ18" s="758"/>
      <c r="ER18" s="758"/>
      <c r="ES18" s="758"/>
      <c r="ET18" s="758"/>
      <c r="EU18" s="758"/>
      <c r="EV18" s="758"/>
      <c r="EW18" s="758"/>
      <c r="EX18" s="758"/>
      <c r="EY18" s="758"/>
      <c r="EZ18" s="758"/>
      <c r="FA18" s="758"/>
      <c r="FB18" s="758"/>
      <c r="FC18" s="758"/>
      <c r="FD18" s="758"/>
      <c r="FE18" s="758"/>
      <c r="FF18" s="758"/>
      <c r="FG18" s="758"/>
      <c r="FH18" s="758"/>
      <c r="FI18" s="758"/>
      <c r="FJ18" s="758"/>
      <c r="FK18" s="758"/>
      <c r="FL18" s="758"/>
      <c r="FM18" s="758"/>
      <c r="FN18" s="758"/>
      <c r="FO18" s="758"/>
      <c r="FP18" s="758"/>
      <c r="FQ18" s="758"/>
      <c r="FR18" s="758"/>
      <c r="FS18" s="758"/>
      <c r="FT18" s="758"/>
      <c r="FU18" s="758"/>
      <c r="FV18" s="758"/>
      <c r="FW18" s="758"/>
      <c r="FX18" s="758"/>
      <c r="FY18" s="758"/>
      <c r="FZ18" s="758"/>
      <c r="GA18" s="758"/>
      <c r="GB18" s="758"/>
      <c r="GC18" s="758"/>
      <c r="GD18" s="758"/>
      <c r="GE18" s="758"/>
      <c r="GF18" s="758"/>
      <c r="GG18" s="758"/>
      <c r="GH18" s="758"/>
      <c r="GI18" s="758"/>
      <c r="GJ18" s="758"/>
      <c r="GK18" s="758"/>
      <c r="GL18" s="758"/>
      <c r="GM18" s="758"/>
      <c r="GN18" s="758"/>
      <c r="GO18" s="758"/>
      <c r="GP18" s="758"/>
      <c r="GQ18" s="758"/>
      <c r="GR18" s="758"/>
      <c r="GS18" s="758"/>
      <c r="GT18" s="758"/>
      <c r="GU18" s="758"/>
      <c r="GV18" s="758"/>
      <c r="GW18" s="758"/>
      <c r="GX18" s="758"/>
      <c r="GY18" s="758"/>
      <c r="GZ18" s="758"/>
      <c r="HA18" s="758"/>
      <c r="HB18" s="758"/>
      <c r="HC18" s="758"/>
      <c r="HD18" s="758"/>
      <c r="HE18" s="758"/>
      <c r="HF18" s="758"/>
      <c r="HG18" s="758"/>
      <c r="HH18" s="758"/>
      <c r="HI18" s="758"/>
      <c r="HJ18" s="758"/>
      <c r="HK18" s="758"/>
      <c r="HL18" s="758"/>
      <c r="HM18" s="758"/>
      <c r="HN18" s="758"/>
      <c r="HO18" s="758"/>
      <c r="HP18" s="758"/>
      <c r="HQ18" s="758"/>
      <c r="HR18" s="758"/>
      <c r="HS18" s="758"/>
      <c r="HT18" s="758"/>
      <c r="HU18" s="758"/>
      <c r="HV18" s="758"/>
      <c r="HW18" s="758"/>
      <c r="HX18" s="758"/>
      <c r="HY18" s="758"/>
      <c r="HZ18" s="758"/>
      <c r="IA18" s="758"/>
      <c r="IB18" s="758"/>
      <c r="IC18" s="758"/>
      <c r="ID18" s="758"/>
      <c r="IE18" s="758"/>
      <c r="IF18" s="758"/>
      <c r="IG18" s="758"/>
      <c r="IH18" s="758"/>
      <c r="II18" s="758"/>
      <c r="IJ18" s="758"/>
      <c r="IK18" s="758"/>
      <c r="IL18" s="758"/>
      <c r="IM18" s="758"/>
      <c r="IN18" s="758"/>
      <c r="IO18" s="758"/>
      <c r="IP18" s="758"/>
      <c r="IQ18" s="758"/>
      <c r="IR18" s="758"/>
      <c r="IS18" s="758"/>
      <c r="IT18" s="758"/>
      <c r="IU18" s="758"/>
      <c r="IV18" s="758"/>
      <c r="IW18" s="758"/>
      <c r="IX18" s="758"/>
      <c r="IY18" s="758"/>
      <c r="IZ18" s="758"/>
      <c r="JA18" s="758"/>
      <c r="JB18" s="758"/>
      <c r="JC18" s="758"/>
      <c r="JD18" s="758"/>
      <c r="JE18" s="758"/>
      <c r="JF18" s="758"/>
      <c r="JG18" s="758"/>
      <c r="JH18" s="758"/>
      <c r="JI18" s="758"/>
      <c r="JJ18" s="758"/>
      <c r="JK18" s="758"/>
      <c r="JL18" s="758"/>
      <c r="JM18" s="758"/>
      <c r="JN18" s="758"/>
      <c r="JO18" s="758"/>
      <c r="JP18" s="758"/>
      <c r="JQ18" s="758"/>
      <c r="JR18" s="758"/>
      <c r="JS18" s="758"/>
      <c r="JT18" s="758"/>
      <c r="JU18" s="758"/>
      <c r="JV18" s="758"/>
      <c r="JW18" s="758"/>
      <c r="JX18" s="758"/>
      <c r="JY18" s="758"/>
      <c r="JZ18" s="758"/>
      <c r="KA18" s="758"/>
      <c r="KB18" s="758"/>
      <c r="KC18" s="758"/>
      <c r="KD18" s="758"/>
      <c r="KE18" s="758"/>
      <c r="KF18" s="758"/>
      <c r="KG18" s="758"/>
      <c r="KH18" s="758"/>
      <c r="KI18" s="758"/>
      <c r="KJ18" s="758"/>
      <c r="KK18" s="758"/>
      <c r="KL18" s="758"/>
      <c r="KM18" s="758"/>
      <c r="KN18" s="758"/>
      <c r="KO18" s="758"/>
      <c r="KP18" s="758"/>
      <c r="KQ18" s="758"/>
      <c r="KR18" s="758"/>
      <c r="KS18" s="758"/>
      <c r="KT18" s="758"/>
      <c r="KU18" s="758"/>
      <c r="KV18" s="758"/>
      <c r="KW18" s="758"/>
      <c r="KX18" s="758"/>
      <c r="KY18" s="758"/>
      <c r="KZ18" s="758"/>
      <c r="LA18" s="758"/>
      <c r="LB18" s="758"/>
      <c r="LC18" s="758"/>
      <c r="LD18" s="758"/>
      <c r="LE18" s="758"/>
      <c r="LF18" s="758"/>
      <c r="LG18" s="758"/>
      <c r="LH18" s="758"/>
      <c r="LI18" s="758"/>
      <c r="LJ18" s="758"/>
      <c r="LK18" s="758"/>
      <c r="LL18" s="758"/>
      <c r="LM18" s="758"/>
      <c r="LN18" s="758"/>
      <c r="LO18" s="758"/>
      <c r="LP18" s="758"/>
      <c r="LQ18" s="758"/>
      <c r="LR18" s="758"/>
      <c r="LS18" s="758"/>
      <c r="LT18" s="758"/>
      <c r="LU18" s="758"/>
      <c r="LV18" s="758"/>
      <c r="LW18" s="758"/>
      <c r="LX18" s="758"/>
      <c r="LY18" s="758"/>
      <c r="LZ18" s="758"/>
      <c r="MA18" s="758"/>
      <c r="MB18" s="758"/>
      <c r="MC18" s="758"/>
      <c r="MD18" s="758"/>
      <c r="ME18" s="758"/>
      <c r="MF18" s="758"/>
      <c r="MG18" s="758"/>
      <c r="MH18" s="758"/>
      <c r="MI18" s="758"/>
      <c r="MJ18" s="758"/>
      <c r="MK18" s="758"/>
      <c r="ML18" s="758"/>
      <c r="MM18" s="758"/>
      <c r="MN18" s="758"/>
      <c r="MO18" s="758"/>
      <c r="MP18" s="758"/>
      <c r="MQ18" s="758"/>
      <c r="MR18" s="758"/>
      <c r="MS18" s="758"/>
      <c r="MT18" s="758"/>
      <c r="MU18" s="758"/>
      <c r="MV18" s="758"/>
      <c r="MW18" s="758"/>
      <c r="MX18" s="758"/>
      <c r="MY18" s="758"/>
      <c r="MZ18" s="758"/>
      <c r="NA18" s="758"/>
      <c r="NB18" s="758"/>
      <c r="NC18" s="758"/>
      <c r="ND18" s="758"/>
      <c r="NE18" s="758"/>
    </row>
    <row r="19" spans="1:369" ht="12.75" customHeight="1">
      <c r="A19" s="854" t="s">
        <v>74</v>
      </c>
      <c r="B19" s="780"/>
      <c r="C19" s="89"/>
      <c r="D19" s="1432"/>
      <c r="E19" s="1432"/>
      <c r="F19" s="1432"/>
      <c r="G19" s="1432"/>
      <c r="H19" s="1432"/>
      <c r="I19" s="1433"/>
      <c r="J19" s="1104"/>
      <c r="K19" s="1065" t="s">
        <v>1000</v>
      </c>
      <c r="L19" s="1082" t="s">
        <v>32</v>
      </c>
      <c r="M19" s="1082">
        <v>2.4</v>
      </c>
      <c r="N19" s="1082">
        <v>2</v>
      </c>
      <c r="O19" s="1082">
        <v>1.8</v>
      </c>
      <c r="P19" s="1082">
        <v>1.6</v>
      </c>
      <c r="Q19" s="1082">
        <v>1.5</v>
      </c>
      <c r="R19" s="1087">
        <f>IF($C$12&lt;=0.1,2.4,IF(AND($C$12&gt;0.1,$C$12&lt;=0.2),(2-2.4)*($C$12-0.1)/(0.2-0.1)+2.4,IF(AND($C$12&gt;0.2,$C$12&lt;=0.3),(1.8-2)*($C$12-0.2)/(0.3-0.2)+2,IF(AND($C$12&gt;0.3,$C$12&lt;=0.4),(1.6-1.8)*($C$12-0.3)/(0.4-0.3)+1.8,IF(AND($C$12&gt;0.4,$C$12&lt;=0.5),(1.5-1.6)*($C$12-0.4)/(0.5-0.4)+1.6,1.5)))))</f>
        <v>1.8439999999999999</v>
      </c>
      <c r="T19" s="1105" t="s">
        <v>634</v>
      </c>
      <c r="U19" s="1106" t="s">
        <v>1042</v>
      </c>
      <c r="V19" s="1107">
        <v>1</v>
      </c>
      <c r="W19" s="1107">
        <v>2.5</v>
      </c>
      <c r="X19" s="1100"/>
      <c r="Y19" s="1088"/>
      <c r="Z19" s="1088"/>
      <c r="AA19" s="757"/>
      <c r="AB19" s="913"/>
      <c r="AC19" s="753"/>
      <c r="AD19" s="753"/>
      <c r="AE19" s="753"/>
      <c r="AF19" s="753"/>
      <c r="AG19" s="758"/>
      <c r="AH19" s="757"/>
      <c r="AI19" s="1007"/>
      <c r="AJ19" s="1008" t="s">
        <v>1043</v>
      </c>
      <c r="AK19" s="1009"/>
      <c r="AL19" s="1009"/>
      <c r="AM19" s="1010"/>
      <c r="AN19" s="1011">
        <v>1</v>
      </c>
      <c r="AO19" s="1012">
        <v>2.5</v>
      </c>
      <c r="AP19" s="757"/>
      <c r="AQ19" s="757"/>
      <c r="AR19" s="757"/>
      <c r="AS19" s="757"/>
      <c r="AT19" s="757"/>
      <c r="AU19" s="757"/>
      <c r="AV19" s="757"/>
      <c r="AW19" s="757"/>
      <c r="AX19" s="757"/>
      <c r="AY19" s="757"/>
      <c r="AZ19" s="757"/>
      <c r="BA19" s="757"/>
      <c r="BB19" s="757"/>
      <c r="BC19" s="757"/>
      <c r="BD19" s="757"/>
      <c r="BE19" s="757"/>
      <c r="BF19" s="757"/>
      <c r="BG19" s="757"/>
      <c r="BH19" s="757"/>
      <c r="BI19" s="757"/>
      <c r="BJ19" s="757"/>
      <c r="BK19" s="757"/>
      <c r="BL19" s="757"/>
      <c r="BM19" s="757"/>
      <c r="BN19" s="757"/>
      <c r="BO19" s="753"/>
      <c r="BP19" s="757"/>
      <c r="BQ19" s="757"/>
      <c r="BR19" s="757"/>
      <c r="BS19" s="757"/>
      <c r="BT19" s="757"/>
      <c r="BU19" s="757"/>
      <c r="BV19" s="757"/>
      <c r="BW19" s="757"/>
      <c r="BX19" s="757"/>
      <c r="BY19" s="757"/>
      <c r="BZ19" s="757"/>
      <c r="CA19" s="757"/>
      <c r="CB19" s="757"/>
      <c r="CC19" s="757"/>
      <c r="CD19" s="757"/>
      <c r="CE19" s="757"/>
      <c r="CF19" s="757"/>
      <c r="CG19" s="757"/>
      <c r="CH19" s="757"/>
      <c r="CI19" s="757"/>
      <c r="CJ19" s="757"/>
      <c r="CK19" s="757"/>
      <c r="CL19" s="757"/>
      <c r="CM19" s="757"/>
      <c r="CN19" s="757"/>
      <c r="CO19" s="757"/>
      <c r="CP19" s="757"/>
      <c r="CQ19" s="757"/>
      <c r="CR19" s="757"/>
      <c r="CS19" s="757"/>
      <c r="CT19" s="757"/>
      <c r="CU19" s="757"/>
      <c r="CV19" s="757"/>
      <c r="CW19" s="757"/>
      <c r="CX19" s="757"/>
      <c r="CY19" s="757"/>
      <c r="CZ19" s="757"/>
      <c r="DA19" s="757"/>
      <c r="DB19" s="757"/>
      <c r="DC19" s="757"/>
      <c r="DD19" s="757"/>
      <c r="DE19" s="757"/>
      <c r="DF19" s="757"/>
      <c r="DG19" s="757"/>
      <c r="DH19" s="757"/>
      <c r="DI19" s="757"/>
      <c r="DJ19" s="757"/>
      <c r="DK19" s="757"/>
      <c r="DL19" s="757"/>
      <c r="DM19" s="757"/>
      <c r="DN19" s="767"/>
      <c r="DO19" s="753"/>
      <c r="DP19" s="753"/>
      <c r="DQ19" s="753"/>
      <c r="DR19" s="753"/>
      <c r="DS19" s="778"/>
      <c r="DT19" s="753"/>
      <c r="DU19" s="758"/>
      <c r="DV19" s="758"/>
      <c r="DW19" s="819"/>
      <c r="DX19" s="758"/>
      <c r="DY19" s="758"/>
      <c r="DZ19" s="758"/>
      <c r="EA19" s="758"/>
      <c r="EB19" s="758"/>
      <c r="EC19" s="758"/>
      <c r="ED19" s="758"/>
      <c r="EE19" s="758"/>
      <c r="EF19" s="758"/>
      <c r="EG19" s="758"/>
      <c r="EH19" s="758"/>
      <c r="EI19" s="758"/>
      <c r="EJ19" s="758"/>
      <c r="EK19" s="758"/>
      <c r="EL19" s="758"/>
      <c r="EM19" s="758"/>
      <c r="EN19" s="758"/>
      <c r="EO19" s="758"/>
      <c r="EP19" s="758"/>
      <c r="EQ19" s="758"/>
      <c r="ER19" s="758"/>
      <c r="ES19" s="758"/>
      <c r="ET19" s="758"/>
      <c r="EU19" s="758"/>
      <c r="EV19" s="758"/>
      <c r="EW19" s="758"/>
      <c r="EX19" s="758"/>
      <c r="EY19" s="758"/>
      <c r="EZ19" s="758"/>
      <c r="FA19" s="758"/>
      <c r="FB19" s="758"/>
      <c r="FC19" s="758"/>
      <c r="FD19" s="758"/>
      <c r="FE19" s="758"/>
      <c r="FF19" s="758"/>
      <c r="FG19" s="758"/>
      <c r="FH19" s="758"/>
      <c r="FI19" s="758"/>
      <c r="FJ19" s="758"/>
      <c r="FK19" s="758"/>
      <c r="FL19" s="758"/>
      <c r="FM19" s="758"/>
      <c r="FN19" s="758"/>
      <c r="FO19" s="758"/>
      <c r="FP19" s="758"/>
      <c r="FQ19" s="758"/>
      <c r="FR19" s="758"/>
      <c r="FS19" s="758"/>
      <c r="FT19" s="758"/>
      <c r="FU19" s="758"/>
      <c r="FV19" s="758"/>
      <c r="FW19" s="758"/>
      <c r="FX19" s="758"/>
      <c r="FY19" s="758"/>
      <c r="FZ19" s="758"/>
      <c r="GA19" s="758"/>
      <c r="GB19" s="758"/>
      <c r="GC19" s="758"/>
      <c r="GD19" s="758"/>
      <c r="GE19" s="758"/>
      <c r="GF19" s="758"/>
      <c r="GG19" s="758"/>
      <c r="GH19" s="758"/>
      <c r="GI19" s="758"/>
      <c r="GJ19" s="758"/>
      <c r="GK19" s="758"/>
      <c r="GL19" s="758"/>
      <c r="GM19" s="758"/>
      <c r="GN19" s="758"/>
      <c r="GO19" s="758"/>
      <c r="GP19" s="758"/>
      <c r="GQ19" s="758"/>
      <c r="GR19" s="758"/>
      <c r="GS19" s="758"/>
      <c r="GT19" s="758"/>
      <c r="GU19" s="758"/>
      <c r="GV19" s="758"/>
      <c r="GW19" s="758"/>
      <c r="GX19" s="758"/>
      <c r="GY19" s="758"/>
      <c r="GZ19" s="758"/>
      <c r="HA19" s="758"/>
      <c r="HB19" s="758"/>
      <c r="HC19" s="758"/>
      <c r="HD19" s="758"/>
      <c r="HE19" s="758"/>
      <c r="HF19" s="758"/>
      <c r="HG19" s="758"/>
      <c r="HH19" s="758"/>
      <c r="HI19" s="758"/>
      <c r="HJ19" s="758"/>
      <c r="HK19" s="758"/>
      <c r="HL19" s="758"/>
      <c r="HM19" s="758"/>
      <c r="HN19" s="758"/>
      <c r="HO19" s="758"/>
      <c r="HP19" s="758"/>
      <c r="HQ19" s="758"/>
      <c r="HR19" s="758"/>
      <c r="HS19" s="758"/>
      <c r="HT19" s="758"/>
      <c r="HU19" s="758"/>
      <c r="HV19" s="758"/>
      <c r="HW19" s="758"/>
      <c r="HX19" s="758"/>
      <c r="HY19" s="758"/>
      <c r="HZ19" s="758"/>
      <c r="IA19" s="758"/>
      <c r="IB19" s="758"/>
      <c r="IC19" s="758"/>
      <c r="ID19" s="758"/>
      <c r="IE19" s="758"/>
      <c r="IF19" s="758"/>
      <c r="IG19" s="758"/>
      <c r="IH19" s="758"/>
      <c r="II19" s="758"/>
      <c r="IJ19" s="758"/>
      <c r="IK19" s="758"/>
      <c r="IL19" s="758"/>
      <c r="IM19" s="758"/>
      <c r="IN19" s="758"/>
      <c r="IO19" s="758"/>
      <c r="IP19" s="758"/>
      <c r="IQ19" s="758"/>
      <c r="IR19" s="758"/>
      <c r="IS19" s="758"/>
      <c r="IT19" s="758"/>
      <c r="IU19" s="758"/>
      <c r="IV19" s="758"/>
      <c r="IW19" s="758"/>
      <c r="IX19" s="758"/>
      <c r="IY19" s="758"/>
      <c r="IZ19" s="758"/>
      <c r="JA19" s="758"/>
      <c r="JB19" s="758"/>
      <c r="JC19" s="758"/>
      <c r="JD19" s="758"/>
      <c r="JE19" s="758"/>
      <c r="JF19" s="758"/>
      <c r="JG19" s="758"/>
      <c r="JH19" s="758"/>
      <c r="JI19" s="758"/>
      <c r="JJ19" s="758"/>
      <c r="JK19" s="758"/>
      <c r="JL19" s="758"/>
      <c r="JM19" s="758"/>
      <c r="JN19" s="758"/>
      <c r="JO19" s="758"/>
      <c r="JP19" s="758"/>
      <c r="JQ19" s="758"/>
      <c r="JR19" s="758"/>
      <c r="JS19" s="758"/>
      <c r="JT19" s="758"/>
      <c r="JU19" s="758"/>
      <c r="JV19" s="758"/>
      <c r="JW19" s="758"/>
      <c r="JX19" s="758"/>
      <c r="JY19" s="758"/>
      <c r="JZ19" s="758"/>
      <c r="KA19" s="758"/>
      <c r="KB19" s="758"/>
      <c r="KC19" s="758"/>
      <c r="KD19" s="758"/>
      <c r="KE19" s="758"/>
      <c r="KF19" s="758"/>
      <c r="KG19" s="758"/>
      <c r="KH19" s="758"/>
      <c r="KI19" s="758"/>
      <c r="KJ19" s="758"/>
      <c r="KK19" s="758"/>
      <c r="KL19" s="758"/>
      <c r="KM19" s="758"/>
      <c r="KN19" s="758"/>
      <c r="KO19" s="758"/>
      <c r="KP19" s="758"/>
      <c r="KQ19" s="758"/>
      <c r="KR19" s="758"/>
      <c r="KS19" s="758"/>
      <c r="KT19" s="758"/>
      <c r="KU19" s="758"/>
      <c r="KV19" s="758"/>
      <c r="KW19" s="758"/>
      <c r="KX19" s="758"/>
      <c r="KY19" s="758"/>
      <c r="KZ19" s="758"/>
      <c r="LA19" s="758"/>
      <c r="LB19" s="758"/>
      <c r="LC19" s="758"/>
      <c r="LD19" s="758"/>
      <c r="LE19" s="758"/>
      <c r="LF19" s="758"/>
      <c r="LG19" s="758"/>
      <c r="LH19" s="758"/>
      <c r="LI19" s="758"/>
      <c r="LJ19" s="758"/>
      <c r="LK19" s="758"/>
      <c r="LL19" s="758"/>
      <c r="LM19" s="758"/>
      <c r="LN19" s="758"/>
      <c r="LO19" s="758"/>
      <c r="LP19" s="758"/>
      <c r="LQ19" s="758"/>
      <c r="LR19" s="758"/>
      <c r="LS19" s="758"/>
      <c r="LT19" s="758"/>
      <c r="LU19" s="758"/>
      <c r="LV19" s="758"/>
      <c r="LW19" s="758"/>
      <c r="LX19" s="758"/>
      <c r="LY19" s="758"/>
      <c r="LZ19" s="758"/>
      <c r="MA19" s="758"/>
      <c r="MB19" s="758"/>
      <c r="MC19" s="758"/>
      <c r="MD19" s="758"/>
      <c r="ME19" s="758"/>
      <c r="MF19" s="758"/>
      <c r="MG19" s="758"/>
      <c r="MH19" s="758"/>
      <c r="MI19" s="758"/>
      <c r="MJ19" s="758"/>
      <c r="MK19" s="758"/>
      <c r="ML19" s="758"/>
      <c r="MM19" s="758"/>
      <c r="MN19" s="758"/>
      <c r="MO19" s="758"/>
      <c r="MP19" s="758"/>
      <c r="MQ19" s="758"/>
      <c r="MR19" s="758"/>
      <c r="MS19" s="758"/>
      <c r="MT19" s="758"/>
      <c r="MU19" s="758"/>
      <c r="MV19" s="758"/>
      <c r="MW19" s="758"/>
      <c r="MX19" s="758"/>
      <c r="MY19" s="758"/>
      <c r="MZ19" s="758"/>
      <c r="NA19" s="758"/>
      <c r="NB19" s="758"/>
      <c r="NC19" s="758"/>
      <c r="ND19" s="758"/>
      <c r="NE19" s="758"/>
    </row>
    <row r="20" spans="1:369" ht="12.75" customHeight="1">
      <c r="A20" s="857"/>
      <c r="B20" s="780"/>
      <c r="C20" s="38"/>
      <c r="D20" s="988"/>
      <c r="E20" s="988"/>
      <c r="F20" s="988"/>
      <c r="G20" s="989"/>
      <c r="H20" s="989"/>
      <c r="I20" s="836"/>
      <c r="J20" s="1104"/>
      <c r="K20" s="1065" t="s">
        <v>1003</v>
      </c>
      <c r="L20" s="1082" t="s">
        <v>35</v>
      </c>
      <c r="M20" s="1082">
        <v>3.5</v>
      </c>
      <c r="N20" s="1082">
        <v>3.2</v>
      </c>
      <c r="O20" s="1082">
        <v>2.8</v>
      </c>
      <c r="P20" s="1082">
        <v>2.4</v>
      </c>
      <c r="Q20" s="1082">
        <v>2.4</v>
      </c>
      <c r="R20" s="1087">
        <f>IF($C$12&lt;=0.1,3.5,IF(AND($C$12&gt;0.1,$C$12&lt;=0.2),(3.2-3.5)*($C$12-0.1)/(0.2-0.1)+3.5,IF(AND($C$12&gt;0.2,$C$12&lt;=0.3),(2.8-3.2)*($C$12-0.2)/(0.3-0.2)+3.2,IF(AND($C$12&gt;0.3,$C$12&lt;=0.4),(2.4-2.8)*($C$12-0.3)/(0.4-0.3)+2.8,IF(AND($C$12&gt;0.4,$C$12&lt;=0.5),2.4,2.4)))))</f>
        <v>2.8879999999999999</v>
      </c>
      <c r="T20" s="1154" t="s">
        <v>1044</v>
      </c>
      <c r="U20" s="1155" t="s">
        <v>1186</v>
      </c>
      <c r="V20" s="1156">
        <v>1</v>
      </c>
      <c r="W20" s="1156">
        <v>2.5</v>
      </c>
      <c r="X20" s="1063"/>
      <c r="Y20" s="1088"/>
      <c r="Z20" s="1088"/>
      <c r="AA20" s="757"/>
      <c r="AB20" s="767"/>
      <c r="AC20" s="768"/>
      <c r="AD20" s="753"/>
      <c r="AE20" s="753"/>
      <c r="AF20" s="753"/>
      <c r="AG20" s="758"/>
      <c r="AH20" s="757"/>
      <c r="AI20" s="1013"/>
      <c r="AJ20" s="1014" t="s">
        <v>1045</v>
      </c>
      <c r="AK20" s="1015"/>
      <c r="AL20" s="1015"/>
      <c r="AM20" s="1016"/>
      <c r="AN20" s="1017">
        <v>1</v>
      </c>
      <c r="AO20" s="1018">
        <v>1.5</v>
      </c>
      <c r="AP20" s="757"/>
      <c r="AQ20" s="757"/>
      <c r="AR20" s="757"/>
      <c r="AS20" s="757"/>
      <c r="AT20" s="757"/>
      <c r="AU20" s="757"/>
      <c r="AV20" s="757"/>
      <c r="AW20" s="757"/>
      <c r="AX20" s="757"/>
      <c r="AY20" s="757"/>
      <c r="AZ20" s="757"/>
      <c r="BA20" s="757"/>
      <c r="BB20" s="757"/>
      <c r="BC20" s="757"/>
      <c r="BD20" s="757"/>
      <c r="BE20" s="757"/>
      <c r="BF20" s="757"/>
      <c r="BG20" s="757"/>
      <c r="BH20" s="757"/>
      <c r="BI20" s="757"/>
      <c r="BJ20" s="757"/>
      <c r="BK20" s="757"/>
      <c r="BL20" s="757"/>
      <c r="BM20" s="757"/>
      <c r="BN20" s="757"/>
      <c r="BO20" s="753"/>
      <c r="BP20" s="757"/>
      <c r="BQ20" s="757"/>
      <c r="BR20" s="757"/>
      <c r="BS20" s="757"/>
      <c r="BT20" s="757"/>
      <c r="BU20" s="757"/>
      <c r="BV20" s="757"/>
      <c r="BW20" s="757"/>
      <c r="BX20" s="757"/>
      <c r="BY20" s="757"/>
      <c r="BZ20" s="757"/>
      <c r="CA20" s="757"/>
      <c r="CB20" s="757"/>
      <c r="CC20" s="757"/>
      <c r="CD20" s="757"/>
      <c r="CE20" s="757"/>
      <c r="CF20" s="757"/>
      <c r="CG20" s="757"/>
      <c r="CH20" s="757"/>
      <c r="CI20" s="757"/>
      <c r="CJ20" s="757"/>
      <c r="CK20" s="757"/>
      <c r="CL20" s="757"/>
      <c r="CM20" s="757"/>
      <c r="CN20" s="757"/>
      <c r="CO20" s="757"/>
      <c r="CP20" s="757"/>
      <c r="CQ20" s="757"/>
      <c r="CR20" s="757"/>
      <c r="CS20" s="757"/>
      <c r="CT20" s="757"/>
      <c r="CU20" s="757"/>
      <c r="CV20" s="757"/>
      <c r="CW20" s="757"/>
      <c r="CX20" s="757"/>
      <c r="CY20" s="757"/>
      <c r="CZ20" s="757"/>
      <c r="DA20" s="757"/>
      <c r="DB20" s="757"/>
      <c r="DC20" s="757"/>
      <c r="DD20" s="757"/>
      <c r="DE20" s="757"/>
      <c r="DF20" s="757"/>
      <c r="DG20" s="757"/>
      <c r="DH20" s="757"/>
      <c r="DI20" s="757"/>
      <c r="DJ20" s="757"/>
      <c r="DK20" s="757"/>
      <c r="DL20" s="757"/>
      <c r="DM20" s="757"/>
      <c r="DN20" s="767"/>
      <c r="DO20" s="753"/>
      <c r="DP20" s="753"/>
      <c r="DQ20" s="753"/>
      <c r="DR20" s="753"/>
      <c r="DS20" s="808"/>
      <c r="DT20" s="775"/>
      <c r="DU20" s="758"/>
      <c r="DV20" s="758"/>
      <c r="DW20" s="758"/>
      <c r="DX20" s="758"/>
      <c r="DY20" s="758"/>
      <c r="DZ20" s="758"/>
      <c r="EA20" s="758"/>
      <c r="EB20" s="758"/>
      <c r="EC20" s="758"/>
      <c r="ED20" s="758"/>
      <c r="EE20" s="758"/>
      <c r="EF20" s="758"/>
      <c r="EG20" s="758"/>
      <c r="EH20" s="758"/>
      <c r="EI20" s="758"/>
      <c r="EJ20" s="758"/>
      <c r="EK20" s="758"/>
      <c r="EL20" s="758"/>
      <c r="EM20" s="758"/>
      <c r="EN20" s="758"/>
      <c r="EO20" s="758"/>
      <c r="EP20" s="758"/>
      <c r="EQ20" s="758"/>
      <c r="ER20" s="758"/>
      <c r="ES20" s="758"/>
      <c r="ET20" s="758"/>
      <c r="EU20" s="758"/>
      <c r="EV20" s="758"/>
      <c r="EW20" s="758"/>
      <c r="EX20" s="758"/>
      <c r="EY20" s="758"/>
      <c r="EZ20" s="758"/>
      <c r="FA20" s="758"/>
      <c r="FB20" s="758"/>
      <c r="FC20" s="758"/>
      <c r="FD20" s="758"/>
      <c r="FE20" s="758"/>
      <c r="FF20" s="758"/>
      <c r="FG20" s="758"/>
      <c r="FH20" s="758"/>
      <c r="FI20" s="758"/>
      <c r="FJ20" s="758"/>
      <c r="FK20" s="758"/>
      <c r="FL20" s="758"/>
      <c r="FM20" s="758"/>
      <c r="FN20" s="758"/>
      <c r="FO20" s="758"/>
      <c r="FP20" s="758"/>
      <c r="FQ20" s="758"/>
      <c r="FR20" s="758"/>
      <c r="FS20" s="758"/>
      <c r="FT20" s="758"/>
      <c r="FU20" s="758"/>
      <c r="FV20" s="758"/>
      <c r="FW20" s="758"/>
      <c r="FX20" s="758"/>
      <c r="FY20" s="758"/>
      <c r="FZ20" s="758"/>
      <c r="GA20" s="758"/>
      <c r="GB20" s="758"/>
      <c r="GC20" s="758"/>
      <c r="GD20" s="758"/>
      <c r="GE20" s="758"/>
      <c r="GF20" s="758"/>
      <c r="GG20" s="758"/>
      <c r="GH20" s="758"/>
      <c r="GI20" s="758"/>
      <c r="GJ20" s="758"/>
      <c r="GK20" s="758"/>
      <c r="GL20" s="758"/>
      <c r="GM20" s="758"/>
      <c r="GN20" s="758"/>
      <c r="GO20" s="758"/>
      <c r="GP20" s="758"/>
      <c r="GQ20" s="758"/>
      <c r="GR20" s="758"/>
      <c r="GS20" s="758"/>
      <c r="GT20" s="758"/>
      <c r="GU20" s="758"/>
      <c r="GV20" s="758"/>
      <c r="GW20" s="758"/>
      <c r="GX20" s="758"/>
      <c r="GY20" s="758"/>
      <c r="GZ20" s="758"/>
      <c r="HA20" s="758"/>
      <c r="HB20" s="758"/>
      <c r="HC20" s="758"/>
      <c r="HD20" s="758"/>
      <c r="HE20" s="758"/>
      <c r="HF20" s="758"/>
      <c r="HG20" s="758"/>
      <c r="HH20" s="758"/>
      <c r="HI20" s="758"/>
      <c r="HJ20" s="758"/>
      <c r="HK20" s="758"/>
      <c r="HL20" s="758"/>
      <c r="HM20" s="758"/>
      <c r="HN20" s="758"/>
      <c r="HO20" s="758"/>
      <c r="HP20" s="758"/>
      <c r="HQ20" s="758"/>
      <c r="HR20" s="758"/>
      <c r="HS20" s="758"/>
      <c r="HT20" s="758"/>
      <c r="HU20" s="758"/>
      <c r="HV20" s="758"/>
      <c r="HW20" s="758"/>
      <c r="HX20" s="758"/>
      <c r="HY20" s="758"/>
      <c r="HZ20" s="758"/>
      <c r="IA20" s="758"/>
      <c r="IB20" s="758"/>
      <c r="IC20" s="758"/>
      <c r="ID20" s="758"/>
      <c r="IE20" s="758"/>
      <c r="IF20" s="758"/>
      <c r="IG20" s="758"/>
      <c r="IH20" s="758"/>
      <c r="II20" s="758"/>
      <c r="IJ20" s="758"/>
      <c r="IK20" s="758"/>
      <c r="IL20" s="758"/>
      <c r="IM20" s="758"/>
      <c r="IN20" s="758"/>
      <c r="IO20" s="758"/>
      <c r="IP20" s="758"/>
      <c r="IQ20" s="758"/>
      <c r="IR20" s="758"/>
      <c r="IS20" s="758"/>
      <c r="IT20" s="758"/>
      <c r="IU20" s="758"/>
      <c r="IV20" s="758"/>
      <c r="IW20" s="758"/>
      <c r="IX20" s="758"/>
      <c r="IY20" s="758"/>
      <c r="IZ20" s="758"/>
      <c r="JA20" s="758"/>
      <c r="JB20" s="758"/>
      <c r="JC20" s="758"/>
      <c r="JD20" s="758"/>
      <c r="JE20" s="758"/>
      <c r="JF20" s="758"/>
      <c r="JG20" s="758"/>
      <c r="JH20" s="758"/>
      <c r="JI20" s="758"/>
      <c r="JJ20" s="758"/>
      <c r="JK20" s="758"/>
      <c r="JL20" s="758"/>
      <c r="JM20" s="758"/>
      <c r="JN20" s="758"/>
      <c r="JO20" s="758"/>
      <c r="JP20" s="758"/>
      <c r="JQ20" s="758"/>
      <c r="JR20" s="758"/>
      <c r="JS20" s="758"/>
      <c r="JT20" s="758"/>
      <c r="JU20" s="758"/>
      <c r="JV20" s="758"/>
      <c r="JW20" s="758"/>
      <c r="JX20" s="758"/>
      <c r="JY20" s="758"/>
      <c r="JZ20" s="758"/>
      <c r="KA20" s="758"/>
      <c r="KB20" s="758"/>
      <c r="KC20" s="758"/>
      <c r="KD20" s="758"/>
      <c r="KE20" s="758"/>
      <c r="KF20" s="758"/>
      <c r="KG20" s="758"/>
      <c r="KH20" s="758"/>
      <c r="KI20" s="758"/>
      <c r="KJ20" s="758"/>
      <c r="KK20" s="758"/>
      <c r="KL20" s="758"/>
      <c r="KM20" s="758"/>
      <c r="KN20" s="758"/>
      <c r="KO20" s="758"/>
      <c r="KP20" s="758"/>
      <c r="KQ20" s="758"/>
      <c r="KR20" s="758"/>
      <c r="KS20" s="758"/>
      <c r="KT20" s="758"/>
      <c r="KU20" s="758"/>
      <c r="KV20" s="758"/>
      <c r="KW20" s="758"/>
      <c r="KX20" s="758"/>
      <c r="KY20" s="758"/>
      <c r="KZ20" s="758"/>
      <c r="LA20" s="758"/>
      <c r="LB20" s="758"/>
      <c r="LC20" s="758"/>
      <c r="LD20" s="758"/>
      <c r="LE20" s="758"/>
      <c r="LF20" s="758"/>
      <c r="LG20" s="758"/>
      <c r="LH20" s="758"/>
      <c r="LI20" s="758"/>
      <c r="LJ20" s="758"/>
      <c r="LK20" s="758"/>
      <c r="LL20" s="758"/>
      <c r="LM20" s="758"/>
      <c r="LN20" s="758"/>
      <c r="LO20" s="758"/>
      <c r="LP20" s="758"/>
      <c r="LQ20" s="758"/>
      <c r="LR20" s="758"/>
      <c r="LS20" s="758"/>
      <c r="LT20" s="758"/>
      <c r="LU20" s="758"/>
      <c r="LV20" s="758"/>
      <c r="LW20" s="758"/>
      <c r="LX20" s="758"/>
      <c r="LY20" s="758"/>
      <c r="LZ20" s="758"/>
      <c r="MA20" s="758"/>
      <c r="MB20" s="758"/>
      <c r="MC20" s="758"/>
      <c r="MD20" s="758"/>
      <c r="ME20" s="758"/>
      <c r="MF20" s="758"/>
      <c r="MG20" s="758"/>
      <c r="MH20" s="758"/>
      <c r="MI20" s="758"/>
      <c r="MJ20" s="758"/>
      <c r="MK20" s="758"/>
      <c r="ML20" s="758"/>
      <c r="MM20" s="758"/>
      <c r="MN20" s="758"/>
      <c r="MO20" s="758"/>
      <c r="MP20" s="758"/>
      <c r="MQ20" s="758"/>
      <c r="MR20" s="758"/>
      <c r="MS20" s="758"/>
      <c r="MT20" s="758"/>
      <c r="MU20" s="758"/>
      <c r="MV20" s="758"/>
      <c r="MW20" s="758"/>
      <c r="MX20" s="758"/>
      <c r="MY20" s="758"/>
      <c r="MZ20" s="758"/>
      <c r="NA20" s="758"/>
      <c r="NB20" s="758"/>
      <c r="NC20" s="758"/>
      <c r="ND20" s="758"/>
      <c r="NE20" s="758"/>
    </row>
    <row r="21" spans="1:369" ht="12.75" customHeight="1">
      <c r="A21" s="854" t="s">
        <v>81</v>
      </c>
      <c r="B21" s="780"/>
      <c r="C21" s="38"/>
      <c r="D21" s="773"/>
      <c r="E21" s="773"/>
      <c r="F21" s="784"/>
      <c r="G21" s="773"/>
      <c r="H21" s="773"/>
      <c r="I21" s="836"/>
      <c r="J21" s="1081"/>
      <c r="K21" s="1065" t="s">
        <v>1006</v>
      </c>
      <c r="L21" s="1089" t="s">
        <v>36</v>
      </c>
      <c r="M21" s="1089" t="s">
        <v>38</v>
      </c>
      <c r="N21" s="1089" t="s">
        <v>38</v>
      </c>
      <c r="O21" s="1089" t="s">
        <v>38</v>
      </c>
      <c r="P21" s="1089" t="s">
        <v>38</v>
      </c>
      <c r="Q21" s="1089" t="s">
        <v>38</v>
      </c>
      <c r="R21" s="1090" t="s">
        <v>38</v>
      </c>
      <c r="T21" s="1157" t="s">
        <v>1185</v>
      </c>
      <c r="U21" s="1158" t="s">
        <v>1187</v>
      </c>
      <c r="V21" s="1159">
        <v>1</v>
      </c>
      <c r="W21" s="1159">
        <v>2.5</v>
      </c>
      <c r="X21" s="1100"/>
      <c r="Y21" s="1088"/>
      <c r="Z21" s="1088"/>
      <c r="AA21" s="757"/>
      <c r="AB21" s="914"/>
      <c r="AC21" s="768"/>
      <c r="AD21" s="753"/>
      <c r="AE21" s="753"/>
      <c r="AF21" s="753"/>
      <c r="AG21" s="758"/>
      <c r="AH21" s="757"/>
      <c r="AI21" s="1025" t="s">
        <v>1048</v>
      </c>
      <c r="AJ21" s="1026"/>
      <c r="AK21" s="1026"/>
      <c r="AL21" s="1026"/>
      <c r="AM21" s="1027"/>
      <c r="AN21" s="1028">
        <v>2.5</v>
      </c>
      <c r="AO21" s="1029">
        <v>3.5</v>
      </c>
      <c r="AP21" s="757"/>
      <c r="AQ21" s="757"/>
      <c r="AR21" s="757"/>
      <c r="AS21" s="757"/>
      <c r="AT21" s="757"/>
      <c r="AU21" s="757"/>
      <c r="AV21" s="757"/>
      <c r="AW21" s="757"/>
      <c r="AX21" s="757"/>
      <c r="AY21" s="757"/>
      <c r="AZ21" s="757"/>
      <c r="BA21" s="757"/>
      <c r="BB21" s="757"/>
      <c r="BC21" s="757"/>
      <c r="BD21" s="757"/>
      <c r="BE21" s="757"/>
      <c r="BF21" s="757"/>
      <c r="BG21" s="757"/>
      <c r="BH21" s="757"/>
      <c r="BI21" s="757"/>
      <c r="BJ21" s="757"/>
      <c r="BK21" s="757"/>
      <c r="BL21" s="757"/>
      <c r="BM21" s="757"/>
      <c r="BN21" s="757"/>
      <c r="BO21" s="753"/>
      <c r="BP21" s="757"/>
      <c r="BQ21" s="757"/>
      <c r="BR21" s="757"/>
      <c r="BS21" s="757"/>
      <c r="BT21" s="757"/>
      <c r="BU21" s="757"/>
      <c r="BV21" s="757"/>
      <c r="BW21" s="757"/>
      <c r="BX21" s="757"/>
      <c r="BY21" s="757"/>
      <c r="BZ21" s="757"/>
      <c r="CA21" s="757"/>
      <c r="CB21" s="757"/>
      <c r="CC21" s="757"/>
      <c r="CD21" s="757"/>
      <c r="CE21" s="757"/>
      <c r="CF21" s="757"/>
      <c r="CG21" s="757"/>
      <c r="CH21" s="757"/>
      <c r="CI21" s="757"/>
      <c r="CJ21" s="757"/>
      <c r="CK21" s="757"/>
      <c r="CL21" s="757"/>
      <c r="CM21" s="757"/>
      <c r="CN21" s="757"/>
      <c r="CO21" s="757"/>
      <c r="CP21" s="757"/>
      <c r="CQ21" s="757"/>
      <c r="CR21" s="757"/>
      <c r="CS21" s="757"/>
      <c r="CT21" s="757"/>
      <c r="CU21" s="757"/>
      <c r="CV21" s="757"/>
      <c r="CW21" s="757"/>
      <c r="CX21" s="757"/>
      <c r="CY21" s="757"/>
      <c r="CZ21" s="757"/>
      <c r="DA21" s="757"/>
      <c r="DB21" s="757"/>
      <c r="DC21" s="757"/>
      <c r="DD21" s="757"/>
      <c r="DE21" s="757"/>
      <c r="DF21" s="757"/>
      <c r="DG21" s="757"/>
      <c r="DH21" s="757"/>
      <c r="DI21" s="757"/>
      <c r="DJ21" s="757"/>
      <c r="DK21" s="757"/>
      <c r="DL21" s="757"/>
      <c r="DM21" s="757"/>
      <c r="DN21" s="767"/>
      <c r="DO21" s="753"/>
      <c r="DP21" s="753"/>
      <c r="DQ21" s="753"/>
      <c r="DR21" s="753"/>
      <c r="DS21" s="808"/>
      <c r="DT21" s="775"/>
      <c r="DU21" s="758"/>
      <c r="DV21" s="758"/>
      <c r="DW21" s="758"/>
      <c r="DX21" s="758"/>
      <c r="DY21" s="758"/>
      <c r="DZ21" s="758"/>
      <c r="EA21" s="758"/>
      <c r="EB21" s="758"/>
      <c r="EC21" s="758"/>
      <c r="ED21" s="758"/>
      <c r="EE21" s="758"/>
      <c r="EF21" s="758"/>
      <c r="EG21" s="758"/>
      <c r="EH21" s="758"/>
      <c r="EI21" s="758"/>
      <c r="EJ21" s="758"/>
      <c r="EK21" s="758"/>
      <c r="EL21" s="758"/>
      <c r="EM21" s="758"/>
      <c r="EN21" s="758"/>
      <c r="EO21" s="758"/>
      <c r="EP21" s="758"/>
      <c r="EQ21" s="758"/>
      <c r="ER21" s="758"/>
      <c r="ES21" s="758"/>
      <c r="ET21" s="758"/>
      <c r="EU21" s="758"/>
      <c r="EV21" s="758"/>
      <c r="EW21" s="758"/>
      <c r="EX21" s="758"/>
      <c r="EY21" s="758"/>
      <c r="EZ21" s="758"/>
      <c r="FA21" s="758"/>
      <c r="FB21" s="758"/>
      <c r="FC21" s="758"/>
      <c r="FD21" s="758"/>
      <c r="FE21" s="758"/>
      <c r="FF21" s="758"/>
      <c r="FG21" s="758"/>
      <c r="FH21" s="758"/>
      <c r="FI21" s="758"/>
      <c r="FJ21" s="758"/>
      <c r="FK21" s="758"/>
      <c r="FL21" s="758"/>
      <c r="FM21" s="758"/>
      <c r="FN21" s="758"/>
      <c r="FO21" s="758"/>
      <c r="FP21" s="758"/>
      <c r="FQ21" s="758"/>
      <c r="FR21" s="758"/>
      <c r="FS21" s="758"/>
      <c r="FT21" s="758"/>
      <c r="FU21" s="758"/>
      <c r="FV21" s="758"/>
      <c r="FW21" s="758"/>
      <c r="FX21" s="758"/>
      <c r="FY21" s="758"/>
      <c r="FZ21" s="758"/>
      <c r="GA21" s="758"/>
      <c r="GB21" s="758"/>
      <c r="GC21" s="758"/>
      <c r="GD21" s="758"/>
      <c r="GE21" s="758"/>
      <c r="GF21" s="758"/>
      <c r="GG21" s="758"/>
      <c r="GH21" s="758"/>
      <c r="GI21" s="758"/>
      <c r="GJ21" s="758"/>
      <c r="GK21" s="758"/>
      <c r="GL21" s="758"/>
      <c r="GM21" s="758"/>
      <c r="GN21" s="758"/>
      <c r="GO21" s="758"/>
      <c r="GP21" s="758"/>
      <c r="GQ21" s="758"/>
      <c r="GR21" s="758"/>
      <c r="GS21" s="758"/>
      <c r="GT21" s="758"/>
      <c r="GU21" s="758"/>
      <c r="GV21" s="758"/>
      <c r="GW21" s="758"/>
      <c r="GX21" s="758"/>
      <c r="GY21" s="758"/>
      <c r="GZ21" s="758"/>
      <c r="HA21" s="758"/>
      <c r="HB21" s="758"/>
      <c r="HC21" s="758"/>
      <c r="HD21" s="758"/>
      <c r="HE21" s="758"/>
      <c r="HF21" s="758"/>
      <c r="HG21" s="758"/>
      <c r="HH21" s="758"/>
      <c r="HI21" s="758"/>
      <c r="HJ21" s="758"/>
      <c r="HK21" s="758"/>
      <c r="HL21" s="758"/>
      <c r="HM21" s="758"/>
      <c r="HN21" s="758"/>
      <c r="HO21" s="758"/>
      <c r="HP21" s="758"/>
      <c r="HQ21" s="758"/>
      <c r="HR21" s="758"/>
      <c r="HS21" s="758"/>
      <c r="HT21" s="758"/>
      <c r="HU21" s="758"/>
      <c r="HV21" s="758"/>
      <c r="HW21" s="758"/>
      <c r="HX21" s="758"/>
      <c r="HY21" s="758"/>
      <c r="HZ21" s="758"/>
      <c r="IA21" s="758"/>
      <c r="IB21" s="758"/>
      <c r="IC21" s="758"/>
      <c r="ID21" s="758"/>
      <c r="IE21" s="758"/>
      <c r="IF21" s="758"/>
      <c r="IG21" s="758"/>
      <c r="IH21" s="758"/>
      <c r="II21" s="758"/>
      <c r="IJ21" s="758"/>
      <c r="IK21" s="758"/>
      <c r="IL21" s="758"/>
      <c r="IM21" s="758"/>
      <c r="IN21" s="758"/>
      <c r="IO21" s="758"/>
      <c r="IP21" s="758"/>
      <c r="IQ21" s="758"/>
      <c r="IR21" s="758"/>
      <c r="IS21" s="758"/>
      <c r="IT21" s="758"/>
      <c r="IU21" s="758"/>
      <c r="IV21" s="758"/>
      <c r="IW21" s="758"/>
      <c r="IX21" s="758"/>
      <c r="IY21" s="758"/>
      <c r="IZ21" s="758"/>
      <c r="JA21" s="758"/>
      <c r="JB21" s="758"/>
      <c r="JC21" s="758"/>
      <c r="JD21" s="758"/>
      <c r="JE21" s="758"/>
      <c r="JF21" s="758"/>
      <c r="JG21" s="758"/>
      <c r="JH21" s="758"/>
      <c r="JI21" s="758"/>
      <c r="JJ21" s="758"/>
      <c r="JK21" s="758"/>
      <c r="JL21" s="758"/>
      <c r="JM21" s="758"/>
      <c r="JN21" s="758"/>
      <c r="JO21" s="758"/>
      <c r="JP21" s="758"/>
      <c r="JQ21" s="758"/>
      <c r="JR21" s="758"/>
      <c r="JS21" s="758"/>
      <c r="JT21" s="758"/>
      <c r="JU21" s="758"/>
      <c r="JV21" s="758"/>
      <c r="JW21" s="758"/>
      <c r="JX21" s="758"/>
      <c r="JY21" s="758"/>
      <c r="JZ21" s="758"/>
      <c r="KA21" s="758"/>
      <c r="KB21" s="758"/>
      <c r="KC21" s="758"/>
      <c r="KD21" s="758"/>
      <c r="KE21" s="758"/>
      <c r="KF21" s="758"/>
      <c r="KG21" s="758"/>
      <c r="KH21" s="758"/>
      <c r="KI21" s="758"/>
      <c r="KJ21" s="758"/>
      <c r="KK21" s="758"/>
      <c r="KL21" s="758"/>
      <c r="KM21" s="758"/>
      <c r="KN21" s="758"/>
      <c r="KO21" s="758"/>
      <c r="KP21" s="758"/>
      <c r="KQ21" s="758"/>
      <c r="KR21" s="758"/>
      <c r="KS21" s="758"/>
      <c r="KT21" s="758"/>
      <c r="KU21" s="758"/>
      <c r="KV21" s="758"/>
      <c r="KW21" s="758"/>
      <c r="KX21" s="758"/>
      <c r="KY21" s="758"/>
      <c r="KZ21" s="758"/>
      <c r="LA21" s="758"/>
      <c r="LB21" s="758"/>
      <c r="LC21" s="758"/>
      <c r="LD21" s="758"/>
      <c r="LE21" s="758"/>
      <c r="LF21" s="758"/>
      <c r="LG21" s="758"/>
      <c r="LH21" s="758"/>
      <c r="LI21" s="758"/>
      <c r="LJ21" s="758"/>
      <c r="LK21" s="758"/>
      <c r="LL21" s="758"/>
      <c r="LM21" s="758"/>
      <c r="LN21" s="758"/>
      <c r="LO21" s="758"/>
      <c r="LP21" s="758"/>
      <c r="LQ21" s="758"/>
      <c r="LR21" s="758"/>
      <c r="LS21" s="758"/>
      <c r="LT21" s="758"/>
      <c r="LU21" s="758"/>
      <c r="LV21" s="758"/>
      <c r="LW21" s="758"/>
      <c r="LX21" s="758"/>
      <c r="LY21" s="758"/>
      <c r="LZ21" s="758"/>
      <c r="MA21" s="758"/>
      <c r="MB21" s="758"/>
      <c r="MC21" s="758"/>
      <c r="MD21" s="758"/>
      <c r="ME21" s="758"/>
      <c r="MF21" s="758"/>
      <c r="MG21" s="758"/>
      <c r="MH21" s="758"/>
      <c r="MI21" s="758"/>
      <c r="MJ21" s="758"/>
      <c r="MK21" s="758"/>
      <c r="ML21" s="758"/>
      <c r="MM21" s="758"/>
      <c r="MN21" s="758"/>
      <c r="MO21" s="758"/>
      <c r="MP21" s="758"/>
      <c r="MQ21" s="758"/>
      <c r="MR21" s="758"/>
      <c r="MS21" s="758"/>
      <c r="MT21" s="758"/>
      <c r="MU21" s="758"/>
      <c r="MV21" s="758"/>
      <c r="MW21" s="758"/>
      <c r="MX21" s="758"/>
      <c r="MY21" s="758"/>
      <c r="MZ21" s="758"/>
      <c r="NA21" s="758"/>
      <c r="NB21" s="758"/>
      <c r="NC21" s="758"/>
      <c r="ND21" s="758"/>
      <c r="NE21" s="758"/>
    </row>
    <row r="22" spans="1:369" ht="12.75" customHeight="1">
      <c r="A22" s="857"/>
      <c r="B22" s="798" t="s">
        <v>710</v>
      </c>
      <c r="C22" s="96">
        <f>IF($C$9="A",$R$6,IF($C$9="B",$R$7,IF($C$9="C",$R$8,IF($C$9="D",$R$9,IF($C$9="E",$R$10,IF($C$9="F",$R$11))))))</f>
        <v>1.3088</v>
      </c>
      <c r="D22" s="1057" t="s">
        <v>1167</v>
      </c>
      <c r="E22" s="809"/>
      <c r="F22" s="832"/>
      <c r="G22" s="780"/>
      <c r="H22" s="780"/>
      <c r="I22" s="829"/>
      <c r="J22" s="1081"/>
      <c r="K22" s="1065" t="s">
        <v>1009</v>
      </c>
      <c r="N22" s="1090"/>
      <c r="O22" s="1039"/>
      <c r="T22" s="1160" t="s">
        <v>1046</v>
      </c>
      <c r="U22" s="1161" t="s">
        <v>1188</v>
      </c>
      <c r="V22" s="1162">
        <v>1</v>
      </c>
      <c r="W22" s="1162">
        <v>2.5</v>
      </c>
      <c r="X22" s="1109"/>
      <c r="Y22" s="1110"/>
      <c r="Z22" s="1110"/>
      <c r="AA22" s="757"/>
      <c r="AB22" s="753"/>
      <c r="AC22" s="753"/>
      <c r="AD22" s="753"/>
      <c r="AE22" s="753"/>
      <c r="AF22" s="753"/>
      <c r="AG22" s="758"/>
      <c r="AH22" s="757"/>
      <c r="AI22" s="1025" t="s">
        <v>1050</v>
      </c>
      <c r="AJ22" s="1026"/>
      <c r="AK22" s="1026"/>
      <c r="AL22" s="1026"/>
      <c r="AM22" s="1027"/>
      <c r="AN22" s="1030">
        <v>1</v>
      </c>
      <c r="AO22" s="1029">
        <v>2.5</v>
      </c>
      <c r="AP22" s="757"/>
      <c r="AQ22" s="757"/>
      <c r="AR22" s="757"/>
      <c r="AS22" s="757"/>
      <c r="AT22" s="757"/>
      <c r="AU22" s="757"/>
      <c r="AV22" s="757"/>
      <c r="AW22" s="757"/>
      <c r="AX22" s="757"/>
      <c r="AY22" s="757"/>
      <c r="AZ22" s="757"/>
      <c r="BA22" s="757"/>
      <c r="BB22" s="757"/>
      <c r="BC22" s="757"/>
      <c r="BD22" s="757"/>
      <c r="BE22" s="757"/>
      <c r="BF22" s="757"/>
      <c r="BG22" s="757"/>
      <c r="BH22" s="757"/>
      <c r="BI22" s="757"/>
      <c r="BJ22" s="757"/>
      <c r="BK22" s="757"/>
      <c r="BL22" s="757"/>
      <c r="BM22" s="757"/>
      <c r="BN22" s="757"/>
      <c r="BO22" s="753"/>
      <c r="BP22" s="757"/>
      <c r="BQ22" s="757"/>
      <c r="BR22" s="757"/>
      <c r="BS22" s="757"/>
      <c r="BT22" s="757"/>
      <c r="BU22" s="757"/>
      <c r="BV22" s="757"/>
      <c r="BW22" s="757"/>
      <c r="BX22" s="757"/>
      <c r="BY22" s="757"/>
      <c r="BZ22" s="757"/>
      <c r="CA22" s="757"/>
      <c r="CB22" s="757"/>
      <c r="CC22" s="757"/>
      <c r="CD22" s="757"/>
      <c r="CE22" s="757"/>
      <c r="CF22" s="757"/>
      <c r="CG22" s="757"/>
      <c r="CH22" s="757"/>
      <c r="CI22" s="757"/>
      <c r="CJ22" s="757"/>
      <c r="CK22" s="757"/>
      <c r="CL22" s="757"/>
      <c r="CM22" s="757"/>
      <c r="CN22" s="757"/>
      <c r="CO22" s="757"/>
      <c r="CP22" s="757"/>
      <c r="CQ22" s="757"/>
      <c r="CR22" s="757"/>
      <c r="CS22" s="757"/>
      <c r="CT22" s="757"/>
      <c r="CU22" s="757"/>
      <c r="CV22" s="757"/>
      <c r="CW22" s="757"/>
      <c r="CX22" s="757"/>
      <c r="CY22" s="757"/>
      <c r="CZ22" s="757"/>
      <c r="DA22" s="757"/>
      <c r="DB22" s="757"/>
      <c r="DC22" s="757"/>
      <c r="DD22" s="757"/>
      <c r="DE22" s="757"/>
      <c r="DF22" s="757"/>
      <c r="DG22" s="757"/>
      <c r="DH22" s="757"/>
      <c r="DI22" s="757"/>
      <c r="DJ22" s="757"/>
      <c r="DK22" s="757"/>
      <c r="DL22" s="757"/>
      <c r="DM22" s="757"/>
      <c r="DN22" s="767"/>
      <c r="DO22" s="753"/>
      <c r="DP22" s="753"/>
      <c r="DQ22" s="753"/>
      <c r="DR22" s="753"/>
      <c r="DS22" s="778"/>
      <c r="DT22" s="770"/>
      <c r="DU22" s="758"/>
      <c r="DV22" s="758"/>
      <c r="DW22" s="819"/>
      <c r="DX22" s="758"/>
      <c r="DY22" s="758"/>
      <c r="DZ22" s="758"/>
      <c r="EA22" s="758"/>
      <c r="EB22" s="758"/>
      <c r="EC22" s="758"/>
      <c r="ED22" s="758"/>
      <c r="EE22" s="758"/>
      <c r="EF22" s="758"/>
      <c r="EG22" s="758"/>
      <c r="EH22" s="758"/>
      <c r="EI22" s="758"/>
      <c r="EJ22" s="758"/>
      <c r="EK22" s="758"/>
      <c r="EL22" s="758"/>
      <c r="EM22" s="758"/>
      <c r="EN22" s="758"/>
      <c r="EO22" s="758"/>
      <c r="EP22" s="758"/>
      <c r="EQ22" s="758"/>
      <c r="ER22" s="758"/>
      <c r="ES22" s="758"/>
      <c r="ET22" s="758"/>
      <c r="EU22" s="758"/>
      <c r="EV22" s="758"/>
      <c r="EW22" s="758"/>
      <c r="EX22" s="758"/>
      <c r="EY22" s="758"/>
      <c r="EZ22" s="758"/>
      <c r="FA22" s="758"/>
      <c r="FB22" s="758"/>
      <c r="FC22" s="758"/>
      <c r="FD22" s="758"/>
      <c r="FE22" s="758"/>
      <c r="FF22" s="758"/>
      <c r="FG22" s="758"/>
      <c r="FH22" s="758"/>
      <c r="FI22" s="758"/>
      <c r="FJ22" s="758"/>
      <c r="FK22" s="758"/>
      <c r="FL22" s="758"/>
      <c r="FM22" s="758"/>
      <c r="FN22" s="758"/>
      <c r="FO22" s="758"/>
      <c r="FP22" s="758"/>
      <c r="FQ22" s="758"/>
      <c r="FR22" s="758"/>
      <c r="FS22" s="758"/>
      <c r="FT22" s="758"/>
      <c r="FU22" s="758"/>
      <c r="FV22" s="758"/>
      <c r="FW22" s="758"/>
      <c r="FX22" s="758"/>
      <c r="FY22" s="758"/>
      <c r="FZ22" s="758"/>
      <c r="GA22" s="758"/>
      <c r="GB22" s="758"/>
      <c r="GC22" s="758"/>
      <c r="GD22" s="758"/>
      <c r="GE22" s="758"/>
      <c r="GF22" s="758"/>
      <c r="GG22" s="758"/>
      <c r="GH22" s="758"/>
      <c r="GI22" s="758"/>
      <c r="GJ22" s="758"/>
      <c r="GK22" s="758"/>
      <c r="GL22" s="758"/>
      <c r="GM22" s="758"/>
      <c r="GN22" s="758"/>
      <c r="GO22" s="758"/>
      <c r="GP22" s="758"/>
      <c r="GQ22" s="758"/>
      <c r="GR22" s="758"/>
      <c r="GS22" s="758"/>
      <c r="GT22" s="758"/>
      <c r="GU22" s="758"/>
      <c r="GV22" s="758"/>
      <c r="GW22" s="758"/>
      <c r="GX22" s="758"/>
      <c r="GY22" s="758"/>
      <c r="GZ22" s="758"/>
      <c r="HA22" s="758"/>
      <c r="HB22" s="758"/>
      <c r="HC22" s="758"/>
      <c r="HD22" s="758"/>
      <c r="HE22" s="758"/>
      <c r="HF22" s="758"/>
      <c r="HG22" s="758"/>
      <c r="HH22" s="758"/>
      <c r="HI22" s="758"/>
      <c r="HJ22" s="758"/>
      <c r="HK22" s="758"/>
      <c r="HL22" s="758"/>
      <c r="HM22" s="758"/>
      <c r="HN22" s="758"/>
      <c r="HO22" s="758"/>
      <c r="HP22" s="758"/>
      <c r="HQ22" s="758"/>
      <c r="HR22" s="758"/>
      <c r="HS22" s="758"/>
      <c r="HT22" s="758"/>
      <c r="HU22" s="758"/>
      <c r="HV22" s="758"/>
      <c r="HW22" s="758"/>
      <c r="HX22" s="758"/>
      <c r="HY22" s="758"/>
      <c r="HZ22" s="758"/>
      <c r="IA22" s="758"/>
      <c r="IB22" s="758"/>
      <c r="IC22" s="758"/>
      <c r="ID22" s="758"/>
      <c r="IE22" s="758"/>
      <c r="IF22" s="758"/>
      <c r="IG22" s="758"/>
      <c r="IH22" s="758"/>
      <c r="II22" s="758"/>
      <c r="IJ22" s="758"/>
      <c r="IK22" s="758"/>
      <c r="IL22" s="758"/>
      <c r="IM22" s="758"/>
      <c r="IN22" s="758"/>
      <c r="IO22" s="758"/>
      <c r="IP22" s="758"/>
      <c r="IQ22" s="758"/>
      <c r="IR22" s="758"/>
      <c r="IS22" s="758"/>
      <c r="IT22" s="758"/>
      <c r="IU22" s="758"/>
      <c r="IV22" s="758"/>
      <c r="IW22" s="758"/>
      <c r="IX22" s="758"/>
      <c r="IY22" s="758"/>
      <c r="IZ22" s="758"/>
      <c r="JA22" s="758"/>
      <c r="JB22" s="758"/>
      <c r="JC22" s="758"/>
      <c r="JD22" s="758"/>
      <c r="JE22" s="758"/>
      <c r="JF22" s="758"/>
      <c r="JG22" s="758"/>
      <c r="JH22" s="758"/>
      <c r="JI22" s="758"/>
      <c r="JJ22" s="758"/>
      <c r="JK22" s="758"/>
      <c r="JL22" s="758"/>
      <c r="JM22" s="758"/>
      <c r="JN22" s="758"/>
      <c r="JO22" s="758"/>
      <c r="JP22" s="758"/>
      <c r="JQ22" s="758"/>
      <c r="JR22" s="758"/>
      <c r="JS22" s="758"/>
      <c r="JT22" s="758"/>
      <c r="JU22" s="758"/>
      <c r="JV22" s="758"/>
      <c r="JW22" s="758"/>
      <c r="JX22" s="758"/>
      <c r="JY22" s="758"/>
      <c r="JZ22" s="758"/>
      <c r="KA22" s="758"/>
      <c r="KB22" s="758"/>
      <c r="KC22" s="758"/>
      <c r="KD22" s="758"/>
      <c r="KE22" s="758"/>
      <c r="KF22" s="758"/>
      <c r="KG22" s="758"/>
      <c r="KH22" s="758"/>
      <c r="KI22" s="758"/>
      <c r="KJ22" s="758"/>
      <c r="KK22" s="758"/>
      <c r="KL22" s="758"/>
      <c r="KM22" s="758"/>
      <c r="KN22" s="758"/>
      <c r="KO22" s="758"/>
      <c r="KP22" s="758"/>
      <c r="KQ22" s="758"/>
      <c r="KR22" s="758"/>
      <c r="KS22" s="758"/>
      <c r="KT22" s="758"/>
      <c r="KU22" s="758"/>
      <c r="KV22" s="758"/>
      <c r="KW22" s="758"/>
      <c r="KX22" s="758"/>
      <c r="KY22" s="758"/>
      <c r="KZ22" s="758"/>
      <c r="LA22" s="758"/>
      <c r="LB22" s="758"/>
      <c r="LC22" s="758"/>
      <c r="LD22" s="758"/>
      <c r="LE22" s="758"/>
      <c r="LF22" s="758"/>
      <c r="LG22" s="758"/>
      <c r="LH22" s="758"/>
      <c r="LI22" s="758"/>
      <c r="LJ22" s="758"/>
      <c r="LK22" s="758"/>
      <c r="LL22" s="758"/>
      <c r="LM22" s="758"/>
      <c r="LN22" s="758"/>
      <c r="LO22" s="758"/>
      <c r="LP22" s="758"/>
      <c r="LQ22" s="758"/>
      <c r="LR22" s="758"/>
      <c r="LS22" s="758"/>
      <c r="LT22" s="758"/>
      <c r="LU22" s="758"/>
      <c r="LV22" s="758"/>
      <c r="LW22" s="758"/>
      <c r="LX22" s="758"/>
      <c r="LY22" s="758"/>
      <c r="LZ22" s="758"/>
      <c r="MA22" s="758"/>
      <c r="MB22" s="758"/>
      <c r="MC22" s="758"/>
      <c r="MD22" s="758"/>
      <c r="ME22" s="758"/>
      <c r="MF22" s="758"/>
      <c r="MG22" s="758"/>
      <c r="MH22" s="758"/>
      <c r="MI22" s="758"/>
      <c r="MJ22" s="758"/>
      <c r="MK22" s="758"/>
      <c r="ML22" s="758"/>
      <c r="MM22" s="758"/>
      <c r="MN22" s="758"/>
      <c r="MO22" s="758"/>
      <c r="MP22" s="758"/>
      <c r="MQ22" s="758"/>
      <c r="MR22" s="758"/>
      <c r="MS22" s="758"/>
      <c r="MT22" s="758"/>
      <c r="MU22" s="758"/>
      <c r="MV22" s="758"/>
      <c r="MW22" s="758"/>
      <c r="MX22" s="758"/>
      <c r="MY22" s="758"/>
      <c r="MZ22" s="758"/>
      <c r="NA22" s="758"/>
      <c r="NB22" s="758"/>
      <c r="NC22" s="758"/>
      <c r="ND22" s="758"/>
      <c r="NE22" s="758"/>
    </row>
    <row r="23" spans="1:369" ht="12.75" customHeight="1">
      <c r="A23" s="854"/>
      <c r="B23" s="798" t="s">
        <v>712</v>
      </c>
      <c r="C23" s="101">
        <f>IF($C$9="A",$R$16,IF($C$9="B",$R$17,IF($C$9="C",$R$18,IF($C$9="D",$R$19,IF($C$9="E",$R$20,IF($C$9="F",$R$21))))))</f>
        <v>1.8439999999999999</v>
      </c>
      <c r="D23" s="1057" t="s">
        <v>1168</v>
      </c>
      <c r="E23" s="809"/>
      <c r="F23" s="832"/>
      <c r="G23" s="780"/>
      <c r="H23" s="780"/>
      <c r="I23" s="829"/>
      <c r="J23" s="1081"/>
      <c r="K23" s="1065" t="s">
        <v>1012</v>
      </c>
      <c r="L23" s="1081" t="s">
        <v>405</v>
      </c>
      <c r="M23" s="1121" t="str">
        <f>$C$8</f>
        <v>III</v>
      </c>
      <c r="N23" s="1039" t="s">
        <v>1161</v>
      </c>
      <c r="T23" s="1108" t="s">
        <v>955</v>
      </c>
      <c r="U23" s="1098" t="s">
        <v>1047</v>
      </c>
      <c r="V23" s="1099">
        <v>1</v>
      </c>
      <c r="W23" s="1099">
        <v>2.5</v>
      </c>
      <c r="X23" s="1100"/>
      <c r="Y23" s="1088"/>
      <c r="Z23" s="1088"/>
      <c r="AA23" s="757"/>
      <c r="AB23" s="767"/>
      <c r="AC23" s="769"/>
      <c r="AD23" s="753"/>
      <c r="AE23" s="753"/>
      <c r="AF23" s="753"/>
      <c r="AG23" s="758"/>
      <c r="AH23" s="757"/>
      <c r="AI23" s="1001" t="s">
        <v>1052</v>
      </c>
      <c r="AJ23" s="1002"/>
      <c r="AK23" s="1003"/>
      <c r="AL23" s="1003"/>
      <c r="AM23" s="1004"/>
      <c r="AN23" s="1005"/>
      <c r="AO23" s="1006"/>
      <c r="AP23" s="803"/>
      <c r="AQ23" s="757"/>
      <c r="AR23" s="757"/>
      <c r="AS23" s="757"/>
      <c r="AT23" s="757"/>
      <c r="AU23" s="757"/>
      <c r="AV23" s="757"/>
      <c r="AW23" s="757"/>
      <c r="AX23" s="757"/>
      <c r="AY23" s="757"/>
      <c r="AZ23" s="757"/>
      <c r="BA23" s="757"/>
      <c r="BB23" s="757"/>
      <c r="BC23" s="757"/>
      <c r="BD23" s="757"/>
      <c r="BE23" s="757"/>
      <c r="BF23" s="757"/>
      <c r="BG23" s="757"/>
      <c r="BH23" s="757"/>
      <c r="BI23" s="757"/>
      <c r="BJ23" s="757"/>
      <c r="BK23" s="757"/>
      <c r="BL23" s="757"/>
      <c r="BM23" s="757"/>
      <c r="BN23" s="757"/>
      <c r="BO23" s="753"/>
      <c r="BP23" s="757"/>
      <c r="BQ23" s="757"/>
      <c r="BR23" s="757"/>
      <c r="BS23" s="757"/>
      <c r="BT23" s="757"/>
      <c r="BU23" s="757"/>
      <c r="BV23" s="757"/>
      <c r="BW23" s="757"/>
      <c r="BX23" s="757"/>
      <c r="BY23" s="757"/>
      <c r="BZ23" s="757"/>
      <c r="CA23" s="757"/>
      <c r="CB23" s="757"/>
      <c r="CC23" s="757"/>
      <c r="CD23" s="757"/>
      <c r="CE23" s="757"/>
      <c r="CF23" s="757"/>
      <c r="CG23" s="757"/>
      <c r="CH23" s="757"/>
      <c r="CI23" s="757"/>
      <c r="CJ23" s="757"/>
      <c r="CK23" s="757"/>
      <c r="CL23" s="757"/>
      <c r="CM23" s="757"/>
      <c r="CN23" s="757"/>
      <c r="CO23" s="757"/>
      <c r="CP23" s="757"/>
      <c r="CQ23" s="757"/>
      <c r="CR23" s="757"/>
      <c r="CS23" s="757"/>
      <c r="CT23" s="757"/>
      <c r="CU23" s="757"/>
      <c r="CV23" s="757"/>
      <c r="CW23" s="757"/>
      <c r="CX23" s="757"/>
      <c r="CY23" s="757"/>
      <c r="CZ23" s="757"/>
      <c r="DA23" s="757"/>
      <c r="DB23" s="757"/>
      <c r="DC23" s="757"/>
      <c r="DD23" s="757"/>
      <c r="DE23" s="757"/>
      <c r="DF23" s="757"/>
      <c r="DG23" s="757"/>
      <c r="DH23" s="757"/>
      <c r="DI23" s="757"/>
      <c r="DJ23" s="757"/>
      <c r="DK23" s="757"/>
      <c r="DL23" s="757"/>
      <c r="DM23" s="757"/>
      <c r="DN23" s="767"/>
      <c r="DO23" s="753"/>
      <c r="DP23" s="753"/>
      <c r="DQ23" s="753"/>
      <c r="DR23" s="753"/>
      <c r="DS23" s="778"/>
      <c r="DT23" s="770"/>
      <c r="DU23" s="758"/>
      <c r="DV23" s="758"/>
      <c r="DW23" s="819"/>
      <c r="DX23" s="758"/>
      <c r="DY23" s="758"/>
      <c r="DZ23" s="758"/>
      <c r="EA23" s="758"/>
      <c r="EB23" s="758"/>
      <c r="EC23" s="758"/>
      <c r="ED23" s="758"/>
      <c r="EE23" s="758"/>
      <c r="EF23" s="758"/>
      <c r="EG23" s="758"/>
      <c r="EH23" s="758"/>
      <c r="EI23" s="758"/>
      <c r="EJ23" s="758"/>
      <c r="EK23" s="758"/>
      <c r="EL23" s="758"/>
      <c r="EM23" s="758"/>
      <c r="EN23" s="758"/>
      <c r="EO23" s="758"/>
      <c r="EP23" s="758"/>
      <c r="EQ23" s="758"/>
      <c r="ER23" s="758"/>
      <c r="ES23" s="758"/>
      <c r="ET23" s="758"/>
      <c r="EU23" s="758"/>
      <c r="EV23" s="758"/>
      <c r="EW23" s="758"/>
      <c r="EX23" s="758"/>
      <c r="EY23" s="758"/>
      <c r="EZ23" s="758"/>
      <c r="FA23" s="758"/>
      <c r="FB23" s="758"/>
      <c r="FC23" s="758"/>
      <c r="FD23" s="758"/>
      <c r="FE23" s="758"/>
      <c r="FF23" s="758"/>
      <c r="FG23" s="758"/>
      <c r="FH23" s="758"/>
      <c r="FI23" s="758"/>
      <c r="FJ23" s="758"/>
      <c r="FK23" s="758"/>
      <c r="FL23" s="758"/>
      <c r="FM23" s="758"/>
      <c r="FN23" s="758"/>
      <c r="FO23" s="758"/>
      <c r="FP23" s="758"/>
      <c r="FQ23" s="758"/>
      <c r="FR23" s="758"/>
      <c r="FS23" s="758"/>
      <c r="FT23" s="758"/>
      <c r="FU23" s="758"/>
      <c r="FV23" s="758"/>
      <c r="FW23" s="758"/>
      <c r="FX23" s="758"/>
      <c r="FY23" s="758"/>
      <c r="FZ23" s="758"/>
      <c r="GA23" s="758"/>
      <c r="GB23" s="758"/>
      <c r="GC23" s="758"/>
      <c r="GD23" s="758"/>
      <c r="GE23" s="758"/>
      <c r="GF23" s="758"/>
      <c r="GG23" s="758"/>
      <c r="GH23" s="758"/>
      <c r="GI23" s="758"/>
      <c r="GJ23" s="758"/>
      <c r="GK23" s="758"/>
      <c r="GL23" s="758"/>
      <c r="GM23" s="758"/>
      <c r="GN23" s="758"/>
      <c r="GO23" s="758"/>
      <c r="GP23" s="758"/>
      <c r="GQ23" s="758"/>
      <c r="GR23" s="758"/>
      <c r="GS23" s="758"/>
      <c r="GT23" s="758"/>
      <c r="GU23" s="758"/>
      <c r="GV23" s="758"/>
      <c r="GW23" s="758"/>
      <c r="GX23" s="758"/>
      <c r="GY23" s="758"/>
      <c r="GZ23" s="758"/>
      <c r="HA23" s="758"/>
      <c r="HB23" s="758"/>
      <c r="HC23" s="758"/>
      <c r="HD23" s="758"/>
      <c r="HE23" s="758"/>
      <c r="HF23" s="758"/>
      <c r="HG23" s="758"/>
      <c r="HH23" s="758"/>
      <c r="HI23" s="758"/>
      <c r="HJ23" s="758"/>
      <c r="HK23" s="758"/>
      <c r="HL23" s="758"/>
      <c r="HM23" s="758"/>
      <c r="HN23" s="758"/>
      <c r="HO23" s="758"/>
      <c r="HP23" s="758"/>
      <c r="HQ23" s="758"/>
      <c r="HR23" s="758"/>
      <c r="HS23" s="758"/>
      <c r="HT23" s="758"/>
      <c r="HU23" s="758"/>
      <c r="HV23" s="758"/>
      <c r="HW23" s="758"/>
      <c r="HX23" s="758"/>
      <c r="HY23" s="758"/>
      <c r="HZ23" s="758"/>
      <c r="IA23" s="758"/>
      <c r="IB23" s="758"/>
      <c r="IC23" s="758"/>
      <c r="ID23" s="758"/>
      <c r="IE23" s="758"/>
      <c r="IF23" s="758"/>
      <c r="IG23" s="758"/>
      <c r="IH23" s="758"/>
      <c r="II23" s="758"/>
      <c r="IJ23" s="758"/>
      <c r="IK23" s="758"/>
      <c r="IL23" s="758"/>
      <c r="IM23" s="758"/>
      <c r="IN23" s="758"/>
      <c r="IO23" s="758"/>
      <c r="IP23" s="758"/>
      <c r="IQ23" s="758"/>
      <c r="IR23" s="758"/>
      <c r="IS23" s="758"/>
      <c r="IT23" s="758"/>
      <c r="IU23" s="758"/>
      <c r="IV23" s="758"/>
      <c r="IW23" s="758"/>
      <c r="IX23" s="758"/>
      <c r="IY23" s="758"/>
      <c r="IZ23" s="758"/>
      <c r="JA23" s="758"/>
      <c r="JB23" s="758"/>
      <c r="JC23" s="758"/>
      <c r="JD23" s="758"/>
      <c r="JE23" s="758"/>
      <c r="JF23" s="758"/>
      <c r="JG23" s="758"/>
      <c r="JH23" s="758"/>
      <c r="JI23" s="758"/>
      <c r="JJ23" s="758"/>
      <c r="JK23" s="758"/>
      <c r="JL23" s="758"/>
      <c r="JM23" s="758"/>
      <c r="JN23" s="758"/>
      <c r="JO23" s="758"/>
      <c r="JP23" s="758"/>
      <c r="JQ23" s="758"/>
      <c r="JR23" s="758"/>
      <c r="JS23" s="758"/>
      <c r="JT23" s="758"/>
      <c r="JU23" s="758"/>
      <c r="JV23" s="758"/>
      <c r="JW23" s="758"/>
      <c r="JX23" s="758"/>
      <c r="JY23" s="758"/>
      <c r="JZ23" s="758"/>
      <c r="KA23" s="758"/>
      <c r="KB23" s="758"/>
      <c r="KC23" s="758"/>
      <c r="KD23" s="758"/>
      <c r="KE23" s="758"/>
      <c r="KF23" s="758"/>
      <c r="KG23" s="758"/>
      <c r="KH23" s="758"/>
      <c r="KI23" s="758"/>
      <c r="KJ23" s="758"/>
      <c r="KK23" s="758"/>
      <c r="KL23" s="758"/>
      <c r="KM23" s="758"/>
      <c r="KN23" s="758"/>
      <c r="KO23" s="758"/>
      <c r="KP23" s="758"/>
      <c r="KQ23" s="758"/>
      <c r="KR23" s="758"/>
      <c r="KS23" s="758"/>
      <c r="KT23" s="758"/>
      <c r="KU23" s="758"/>
      <c r="KV23" s="758"/>
      <c r="KW23" s="758"/>
      <c r="KX23" s="758"/>
      <c r="KY23" s="758"/>
      <c r="KZ23" s="758"/>
      <c r="LA23" s="758"/>
      <c r="LB23" s="758"/>
      <c r="LC23" s="758"/>
      <c r="LD23" s="758"/>
      <c r="LE23" s="758"/>
      <c r="LF23" s="758"/>
      <c r="LG23" s="758"/>
      <c r="LH23" s="758"/>
      <c r="LI23" s="758"/>
      <c r="LJ23" s="758"/>
      <c r="LK23" s="758"/>
      <c r="LL23" s="758"/>
      <c r="LM23" s="758"/>
      <c r="LN23" s="758"/>
      <c r="LO23" s="758"/>
      <c r="LP23" s="758"/>
      <c r="LQ23" s="758"/>
      <c r="LR23" s="758"/>
      <c r="LS23" s="758"/>
      <c r="LT23" s="758"/>
      <c r="LU23" s="758"/>
      <c r="LV23" s="758"/>
      <c r="LW23" s="758"/>
      <c r="LX23" s="758"/>
      <c r="LY23" s="758"/>
      <c r="LZ23" s="758"/>
      <c r="MA23" s="758"/>
      <c r="MB23" s="758"/>
      <c r="MC23" s="758"/>
      <c r="MD23" s="758"/>
      <c r="ME23" s="758"/>
      <c r="MF23" s="758"/>
      <c r="MG23" s="758"/>
      <c r="MH23" s="758"/>
      <c r="MI23" s="758"/>
      <c r="MJ23" s="758"/>
      <c r="MK23" s="758"/>
      <c r="ML23" s="758"/>
      <c r="MM23" s="758"/>
      <c r="MN23" s="758"/>
      <c r="MO23" s="758"/>
      <c r="MP23" s="758"/>
      <c r="MQ23" s="758"/>
      <c r="MR23" s="758"/>
      <c r="MS23" s="758"/>
      <c r="MT23" s="758"/>
      <c r="MU23" s="758"/>
      <c r="MV23" s="758"/>
      <c r="MW23" s="758"/>
      <c r="MX23" s="758"/>
      <c r="MY23" s="758"/>
      <c r="MZ23" s="758"/>
      <c r="NA23" s="758"/>
      <c r="NB23" s="758"/>
      <c r="NC23" s="758"/>
      <c r="ND23" s="758"/>
      <c r="NE23" s="758"/>
    </row>
    <row r="24" spans="1:369" ht="12.75" customHeight="1">
      <c r="A24" s="858" t="s">
        <v>707</v>
      </c>
      <c r="B24" s="780"/>
      <c r="C24" s="89"/>
      <c r="D24" s="780"/>
      <c r="E24" s="780"/>
      <c r="F24" s="780"/>
      <c r="G24" s="780"/>
      <c r="H24" s="780"/>
      <c r="I24" s="829"/>
      <c r="J24" s="1081"/>
      <c r="K24" s="1065" t="s">
        <v>1015</v>
      </c>
      <c r="T24" s="1084" t="s">
        <v>1189</v>
      </c>
      <c r="U24" s="1085" t="s">
        <v>1049</v>
      </c>
      <c r="V24" s="1086">
        <v>1</v>
      </c>
      <c r="W24" s="1086">
        <v>1.5</v>
      </c>
      <c r="X24" s="1111"/>
      <c r="Y24" s="1088"/>
      <c r="Z24" s="1088"/>
      <c r="AA24" s="757"/>
      <c r="AB24" s="760"/>
      <c r="AC24" s="760"/>
      <c r="AD24" s="761"/>
      <c r="AE24" s="761"/>
      <c r="AF24" s="761"/>
      <c r="AG24" s="761"/>
      <c r="AH24" s="757"/>
      <c r="AI24" s="1013"/>
      <c r="AJ24" s="1014" t="s">
        <v>1053</v>
      </c>
      <c r="AK24" s="1015"/>
      <c r="AL24" s="1015"/>
      <c r="AM24" s="1016"/>
      <c r="AN24" s="1017">
        <v>1</v>
      </c>
      <c r="AO24" s="1018">
        <v>2.5</v>
      </c>
      <c r="AP24" s="803"/>
      <c r="AQ24" s="757"/>
      <c r="AR24" s="757"/>
      <c r="AS24" s="757"/>
      <c r="AT24" s="757"/>
      <c r="AU24" s="757"/>
      <c r="AV24" s="757"/>
      <c r="AW24" s="757"/>
      <c r="AX24" s="757"/>
      <c r="AY24" s="757"/>
      <c r="AZ24" s="757"/>
      <c r="BA24" s="757"/>
      <c r="BB24" s="757"/>
      <c r="BC24" s="757"/>
      <c r="BD24" s="757"/>
      <c r="BE24" s="757"/>
      <c r="BF24" s="757"/>
      <c r="BG24" s="757"/>
      <c r="BH24" s="757"/>
      <c r="BI24" s="757"/>
      <c r="BJ24" s="774"/>
      <c r="BK24" s="774"/>
      <c r="BL24" s="774"/>
      <c r="BM24" s="774"/>
      <c r="BN24" s="774"/>
      <c r="BO24" s="753"/>
      <c r="BP24" s="774"/>
      <c r="BQ24" s="774"/>
      <c r="BR24" s="774"/>
      <c r="BS24" s="774"/>
      <c r="BT24" s="774"/>
      <c r="BU24" s="774"/>
      <c r="BV24" s="774"/>
      <c r="BW24" s="774"/>
      <c r="BX24" s="774"/>
      <c r="BY24" s="774"/>
      <c r="BZ24" s="774"/>
      <c r="CA24" s="774"/>
      <c r="CB24" s="774"/>
      <c r="CC24" s="774"/>
      <c r="CD24" s="774"/>
      <c r="CE24" s="774"/>
      <c r="CF24" s="774"/>
      <c r="CG24" s="774"/>
      <c r="CH24" s="774"/>
      <c r="CI24" s="774"/>
      <c r="CJ24" s="774"/>
      <c r="CK24" s="774"/>
      <c r="CL24" s="774"/>
      <c r="CM24" s="774"/>
      <c r="CN24" s="774"/>
      <c r="CO24" s="774"/>
      <c r="CP24" s="774"/>
      <c r="CQ24" s="774"/>
      <c r="CR24" s="774"/>
      <c r="CS24" s="774"/>
      <c r="CT24" s="774"/>
      <c r="CU24" s="774"/>
      <c r="CV24" s="774"/>
      <c r="CW24" s="774"/>
      <c r="CX24" s="774"/>
      <c r="CY24" s="774"/>
      <c r="CZ24" s="774"/>
      <c r="DA24" s="774"/>
      <c r="DB24" s="774"/>
      <c r="DC24" s="774"/>
      <c r="DD24" s="774"/>
      <c r="DE24" s="774"/>
      <c r="DF24" s="774"/>
      <c r="DG24" s="774"/>
      <c r="DH24" s="774"/>
      <c r="DI24" s="774"/>
      <c r="DJ24" s="774"/>
      <c r="DK24" s="774"/>
      <c r="DL24" s="774"/>
      <c r="DM24" s="774"/>
      <c r="DN24" s="767"/>
      <c r="DO24" s="753"/>
      <c r="DP24" s="753"/>
      <c r="DQ24" s="753"/>
      <c r="DR24" s="753"/>
      <c r="DS24" s="778"/>
      <c r="DT24" s="770"/>
      <c r="DU24" s="758"/>
      <c r="DV24" s="758"/>
      <c r="DW24" s="819"/>
      <c r="DX24" s="758"/>
      <c r="DY24" s="758"/>
      <c r="DZ24" s="758"/>
      <c r="EA24" s="758"/>
      <c r="EB24" s="758"/>
      <c r="EC24" s="758"/>
      <c r="ED24" s="758"/>
      <c r="EE24" s="758"/>
      <c r="EF24" s="758"/>
      <c r="EG24" s="758"/>
      <c r="EH24" s="758"/>
      <c r="EI24" s="758"/>
      <c r="EJ24" s="758"/>
      <c r="EK24" s="758"/>
      <c r="EL24" s="758"/>
      <c r="EM24" s="758"/>
      <c r="EN24" s="758"/>
      <c r="EO24" s="758"/>
      <c r="EP24" s="758"/>
      <c r="EQ24" s="758"/>
      <c r="ER24" s="758"/>
      <c r="ES24" s="758"/>
      <c r="ET24" s="758"/>
      <c r="EU24" s="758"/>
      <c r="EV24" s="758"/>
      <c r="EW24" s="758"/>
      <c r="EX24" s="758"/>
      <c r="EY24" s="758"/>
      <c r="EZ24" s="758"/>
      <c r="FA24" s="758"/>
      <c r="FB24" s="758"/>
      <c r="FC24" s="758"/>
      <c r="FD24" s="758"/>
      <c r="FE24" s="758"/>
      <c r="FF24" s="758"/>
      <c r="FG24" s="758"/>
      <c r="FH24" s="758"/>
      <c r="FI24" s="758"/>
      <c r="FJ24" s="758"/>
      <c r="FK24" s="758"/>
      <c r="FL24" s="758"/>
      <c r="FM24" s="758"/>
      <c r="FN24" s="758"/>
      <c r="FO24" s="758"/>
      <c r="FP24" s="758"/>
      <c r="FQ24" s="758"/>
      <c r="FR24" s="758"/>
      <c r="FS24" s="758"/>
      <c r="FT24" s="758"/>
      <c r="FU24" s="758"/>
      <c r="FV24" s="758"/>
      <c r="FW24" s="758"/>
      <c r="FX24" s="758"/>
      <c r="FY24" s="758"/>
      <c r="FZ24" s="758"/>
      <c r="GA24" s="758"/>
      <c r="GB24" s="758"/>
      <c r="GC24" s="758"/>
      <c r="GD24" s="758"/>
      <c r="GE24" s="758"/>
      <c r="GF24" s="758"/>
      <c r="GG24" s="758"/>
      <c r="GH24" s="758"/>
      <c r="GI24" s="758"/>
      <c r="GJ24" s="758"/>
      <c r="GK24" s="758"/>
      <c r="GL24" s="758"/>
      <c r="GM24" s="758"/>
      <c r="GN24" s="758"/>
      <c r="GO24" s="758"/>
      <c r="GP24" s="758"/>
      <c r="GQ24" s="758"/>
      <c r="GR24" s="758"/>
      <c r="GS24" s="758"/>
      <c r="GT24" s="758"/>
      <c r="GU24" s="758"/>
      <c r="GV24" s="758"/>
      <c r="GW24" s="758"/>
      <c r="GX24" s="758"/>
      <c r="GY24" s="758"/>
      <c r="GZ24" s="758"/>
      <c r="HA24" s="758"/>
      <c r="HB24" s="758"/>
      <c r="HC24" s="758"/>
      <c r="HD24" s="758"/>
      <c r="HE24" s="758"/>
      <c r="HF24" s="758"/>
      <c r="HG24" s="758"/>
      <c r="HH24" s="758"/>
      <c r="HI24" s="758"/>
      <c r="HJ24" s="758"/>
      <c r="HK24" s="758"/>
      <c r="HL24" s="758"/>
      <c r="HM24" s="758"/>
      <c r="HN24" s="758"/>
      <c r="HO24" s="758"/>
      <c r="HP24" s="758"/>
      <c r="HQ24" s="758"/>
      <c r="HR24" s="758"/>
      <c r="HS24" s="758"/>
      <c r="HT24" s="758"/>
      <c r="HU24" s="758"/>
      <c r="HV24" s="758"/>
      <c r="HW24" s="758"/>
      <c r="HX24" s="758"/>
      <c r="HY24" s="758"/>
      <c r="HZ24" s="758"/>
      <c r="IA24" s="758"/>
      <c r="IB24" s="758"/>
      <c r="IC24" s="758"/>
      <c r="ID24" s="758"/>
      <c r="IE24" s="758"/>
      <c r="IF24" s="758"/>
      <c r="IG24" s="758"/>
      <c r="IH24" s="758"/>
      <c r="II24" s="758"/>
      <c r="IJ24" s="758"/>
      <c r="IK24" s="758"/>
      <c r="IL24" s="758"/>
      <c r="IM24" s="758"/>
      <c r="IN24" s="758"/>
      <c r="IO24" s="758"/>
      <c r="IP24" s="758"/>
      <c r="IQ24" s="758"/>
      <c r="IR24" s="758"/>
      <c r="IS24" s="758"/>
      <c r="IT24" s="758"/>
      <c r="IU24" s="758"/>
      <c r="IV24" s="758"/>
      <c r="IW24" s="758"/>
      <c r="IX24" s="758"/>
      <c r="IY24" s="758"/>
      <c r="IZ24" s="758"/>
      <c r="JA24" s="758"/>
      <c r="JB24" s="758"/>
      <c r="JC24" s="758"/>
      <c r="JD24" s="758"/>
      <c r="JE24" s="758"/>
      <c r="JF24" s="758"/>
      <c r="JG24" s="758"/>
      <c r="JH24" s="758"/>
      <c r="JI24" s="758"/>
      <c r="JJ24" s="758"/>
      <c r="JK24" s="758"/>
      <c r="JL24" s="758"/>
      <c r="JM24" s="758"/>
      <c r="JN24" s="758"/>
      <c r="JO24" s="758"/>
      <c r="JP24" s="758"/>
      <c r="JQ24" s="758"/>
      <c r="JR24" s="758"/>
      <c r="JS24" s="758"/>
      <c r="JT24" s="758"/>
      <c r="JU24" s="758"/>
      <c r="JV24" s="758"/>
      <c r="JW24" s="758"/>
      <c r="JX24" s="758"/>
      <c r="JY24" s="758"/>
      <c r="JZ24" s="758"/>
      <c r="KA24" s="758"/>
      <c r="KB24" s="758"/>
      <c r="KC24" s="758"/>
      <c r="KD24" s="758"/>
      <c r="KE24" s="758"/>
      <c r="KF24" s="758"/>
      <c r="KG24" s="758"/>
      <c r="KH24" s="758"/>
      <c r="KI24" s="758"/>
      <c r="KJ24" s="758"/>
      <c r="KK24" s="758"/>
      <c r="KL24" s="758"/>
      <c r="KM24" s="758"/>
      <c r="KN24" s="758"/>
      <c r="KO24" s="758"/>
      <c r="KP24" s="758"/>
      <c r="KQ24" s="758"/>
      <c r="KR24" s="758"/>
      <c r="KS24" s="758"/>
      <c r="KT24" s="758"/>
      <c r="KU24" s="758"/>
      <c r="KV24" s="758"/>
      <c r="KW24" s="758"/>
      <c r="KX24" s="758"/>
      <c r="KY24" s="758"/>
      <c r="KZ24" s="758"/>
      <c r="LA24" s="758"/>
      <c r="LB24" s="758"/>
      <c r="LC24" s="758"/>
      <c r="LD24" s="758"/>
      <c r="LE24" s="758"/>
      <c r="LF24" s="758"/>
      <c r="LG24" s="758"/>
      <c r="LH24" s="758"/>
      <c r="LI24" s="758"/>
      <c r="LJ24" s="758"/>
      <c r="LK24" s="758"/>
      <c r="LL24" s="758"/>
      <c r="LM24" s="758"/>
      <c r="LN24" s="758"/>
      <c r="LO24" s="758"/>
      <c r="LP24" s="758"/>
      <c r="LQ24" s="758"/>
      <c r="LR24" s="758"/>
      <c r="LS24" s="758"/>
      <c r="LT24" s="758"/>
      <c r="LU24" s="758"/>
      <c r="LV24" s="758"/>
      <c r="LW24" s="758"/>
      <c r="LX24" s="758"/>
      <c r="LY24" s="758"/>
      <c r="LZ24" s="758"/>
      <c r="MA24" s="758"/>
      <c r="MB24" s="758"/>
      <c r="MC24" s="758"/>
      <c r="MD24" s="758"/>
      <c r="ME24" s="758"/>
      <c r="MF24" s="758"/>
      <c r="MG24" s="758"/>
      <c r="MH24" s="758"/>
      <c r="MI24" s="758"/>
      <c r="MJ24" s="758"/>
      <c r="MK24" s="758"/>
      <c r="ML24" s="758"/>
      <c r="MM24" s="758"/>
      <c r="MN24" s="758"/>
      <c r="MO24" s="758"/>
      <c r="MP24" s="758"/>
      <c r="MQ24" s="758"/>
      <c r="MR24" s="758"/>
      <c r="MS24" s="758"/>
      <c r="MT24" s="758"/>
      <c r="MU24" s="758"/>
      <c r="MV24" s="758"/>
      <c r="MW24" s="758"/>
      <c r="MX24" s="758"/>
      <c r="MY24" s="758"/>
      <c r="MZ24" s="758"/>
      <c r="NA24" s="758"/>
      <c r="NB24" s="758"/>
      <c r="NC24" s="758"/>
      <c r="ND24" s="758"/>
      <c r="NE24" s="758"/>
    </row>
    <row r="25" spans="1:369" ht="12.75" customHeight="1">
      <c r="A25" s="854" t="s">
        <v>255</v>
      </c>
      <c r="B25" s="780"/>
      <c r="C25" s="510"/>
      <c r="D25" s="833"/>
      <c r="E25" s="780"/>
      <c r="F25" s="753"/>
      <c r="G25" s="753"/>
      <c r="H25" s="753"/>
      <c r="I25" s="834"/>
      <c r="J25" s="1063"/>
      <c r="K25" s="1065" t="s">
        <v>1019</v>
      </c>
      <c r="L25" s="1066" t="s">
        <v>1183</v>
      </c>
      <c r="M25" s="1112"/>
      <c r="N25" s="1113"/>
      <c r="O25" s="1114"/>
      <c r="P25" s="1061"/>
      <c r="T25" s="1105" t="s">
        <v>659</v>
      </c>
      <c r="U25" s="1106" t="s">
        <v>1051</v>
      </c>
      <c r="V25" s="1107">
        <v>2.5</v>
      </c>
      <c r="W25" s="1107">
        <v>2.5</v>
      </c>
      <c r="X25" s="1100"/>
      <c r="Y25" s="1088"/>
      <c r="Z25" s="1088"/>
      <c r="AA25" s="770"/>
      <c r="AB25" s="758"/>
      <c r="AC25" s="758"/>
      <c r="AD25" s="758"/>
      <c r="AE25" s="758"/>
      <c r="AF25" s="758"/>
      <c r="AG25" s="758"/>
      <c r="AH25" s="770"/>
      <c r="AI25" s="1025" t="s">
        <v>1192</v>
      </c>
      <c r="AJ25" s="1026"/>
      <c r="AK25" s="1026"/>
      <c r="AL25" s="1026"/>
      <c r="AM25" s="1027"/>
      <c r="AN25" s="1030">
        <v>1</v>
      </c>
      <c r="AO25" s="1029">
        <v>2.5</v>
      </c>
      <c r="AP25" s="753"/>
      <c r="AQ25" s="803"/>
      <c r="AR25" s="803"/>
      <c r="AS25" s="803"/>
      <c r="AT25" s="803"/>
      <c r="AU25" s="803"/>
      <c r="AV25" s="803"/>
      <c r="AW25" s="803"/>
      <c r="AX25" s="803"/>
      <c r="AY25" s="803"/>
      <c r="AZ25" s="803"/>
      <c r="BA25" s="803"/>
      <c r="BB25" s="803"/>
      <c r="BC25" s="803"/>
      <c r="BD25" s="803"/>
      <c r="BE25" s="803"/>
      <c r="BF25" s="803"/>
      <c r="BG25" s="803"/>
      <c r="BH25" s="803"/>
      <c r="BI25" s="803"/>
      <c r="BJ25" s="803"/>
      <c r="BK25" s="803"/>
      <c r="BL25" s="803"/>
      <c r="BM25" s="803"/>
      <c r="BN25" s="803"/>
      <c r="BO25" s="774"/>
      <c r="BP25" s="774"/>
      <c r="BQ25" s="774"/>
      <c r="BR25" s="774"/>
      <c r="BS25" s="774"/>
      <c r="BT25" s="774"/>
      <c r="BU25" s="774"/>
      <c r="BV25" s="774"/>
      <c r="BW25" s="774"/>
      <c r="BX25" s="774"/>
      <c r="BY25" s="774"/>
      <c r="BZ25" s="774"/>
      <c r="CA25" s="774"/>
      <c r="CB25" s="774"/>
      <c r="CC25" s="774"/>
      <c r="CD25" s="774"/>
      <c r="CE25" s="774"/>
      <c r="CF25" s="774"/>
      <c r="CG25" s="774"/>
      <c r="CH25" s="774"/>
      <c r="CI25" s="774"/>
      <c r="CJ25" s="774"/>
      <c r="CK25" s="774"/>
      <c r="CL25" s="774"/>
      <c r="CM25" s="774"/>
      <c r="CN25" s="770"/>
      <c r="CO25" s="770"/>
      <c r="CP25" s="770"/>
      <c r="CQ25" s="770"/>
      <c r="CR25" s="770"/>
      <c r="CS25" s="770"/>
      <c r="CT25" s="770"/>
      <c r="CU25" s="770"/>
      <c r="CV25" s="770"/>
      <c r="CW25" s="770"/>
      <c r="CX25" s="770"/>
      <c r="CY25" s="770"/>
      <c r="CZ25" s="770"/>
      <c r="DA25" s="770"/>
      <c r="DB25" s="770"/>
      <c r="DC25" s="770"/>
      <c r="DD25" s="770"/>
      <c r="DE25" s="770"/>
      <c r="DF25" s="770"/>
      <c r="DG25" s="770"/>
      <c r="DH25" s="770"/>
      <c r="DI25" s="770"/>
      <c r="DJ25" s="770"/>
      <c r="DK25" s="770"/>
      <c r="DL25" s="770"/>
      <c r="DM25" s="770"/>
      <c r="DN25" s="767"/>
      <c r="DO25" s="753"/>
      <c r="DP25" s="753"/>
      <c r="DQ25" s="753"/>
      <c r="DR25" s="753"/>
      <c r="DS25" s="778"/>
      <c r="DT25" s="770"/>
      <c r="DU25" s="758"/>
      <c r="DV25" s="758"/>
      <c r="DW25" s="819"/>
      <c r="DX25" s="758"/>
      <c r="DY25" s="758"/>
      <c r="DZ25" s="758"/>
      <c r="EA25" s="758"/>
      <c r="EB25" s="758"/>
      <c r="EC25" s="758"/>
      <c r="ED25" s="758"/>
      <c r="EE25" s="758"/>
      <c r="EF25" s="758"/>
      <c r="EG25" s="758"/>
      <c r="EH25" s="758"/>
      <c r="EI25" s="758"/>
      <c r="EJ25" s="758"/>
      <c r="EK25" s="758"/>
      <c r="EL25" s="758"/>
      <c r="EM25" s="758"/>
      <c r="EN25" s="758"/>
      <c r="EO25" s="758"/>
      <c r="EP25" s="758"/>
      <c r="EQ25" s="758"/>
      <c r="ER25" s="758"/>
      <c r="ES25" s="758"/>
      <c r="ET25" s="758"/>
      <c r="EU25" s="758"/>
      <c r="EV25" s="758"/>
      <c r="EW25" s="758"/>
      <c r="EX25" s="758"/>
      <c r="EY25" s="758"/>
      <c r="EZ25" s="758"/>
      <c r="FA25" s="758"/>
      <c r="FB25" s="758"/>
      <c r="FC25" s="758"/>
      <c r="FD25" s="758"/>
      <c r="FE25" s="758"/>
      <c r="FF25" s="758"/>
      <c r="FG25" s="758"/>
      <c r="FH25" s="758"/>
      <c r="FI25" s="758"/>
      <c r="FJ25" s="758"/>
      <c r="FK25" s="758"/>
      <c r="FL25" s="758"/>
      <c r="FM25" s="758"/>
      <c r="FN25" s="758"/>
      <c r="FO25" s="758"/>
      <c r="FP25" s="758"/>
      <c r="FQ25" s="758"/>
      <c r="FR25" s="758"/>
      <c r="FS25" s="758"/>
      <c r="FT25" s="758"/>
      <c r="FU25" s="758"/>
      <c r="FV25" s="758"/>
      <c r="FW25" s="758"/>
      <c r="FX25" s="758"/>
      <c r="FY25" s="758"/>
      <c r="FZ25" s="758"/>
      <c r="GA25" s="758"/>
      <c r="GB25" s="758"/>
      <c r="GC25" s="758"/>
      <c r="GD25" s="758"/>
      <c r="GE25" s="758"/>
      <c r="GF25" s="758"/>
      <c r="GG25" s="758"/>
      <c r="GH25" s="758"/>
      <c r="GI25" s="758"/>
      <c r="GJ25" s="758"/>
      <c r="GK25" s="758"/>
      <c r="GL25" s="758"/>
      <c r="GM25" s="758"/>
      <c r="GN25" s="758"/>
      <c r="GO25" s="758"/>
      <c r="GP25" s="758"/>
      <c r="GQ25" s="758"/>
      <c r="GR25" s="758"/>
      <c r="GS25" s="758"/>
      <c r="GT25" s="758"/>
      <c r="GU25" s="758"/>
      <c r="GV25" s="758"/>
      <c r="GW25" s="758"/>
      <c r="GX25" s="758"/>
      <c r="GY25" s="758"/>
      <c r="GZ25" s="758"/>
      <c r="HA25" s="758"/>
      <c r="HB25" s="758"/>
      <c r="HC25" s="758"/>
      <c r="HD25" s="758"/>
      <c r="HE25" s="758"/>
      <c r="HF25" s="758"/>
      <c r="HG25" s="758"/>
      <c r="HH25" s="758"/>
      <c r="HI25" s="758"/>
      <c r="HJ25" s="758"/>
      <c r="HK25" s="758"/>
      <c r="HL25" s="758"/>
      <c r="HM25" s="758"/>
      <c r="HN25" s="758"/>
      <c r="HO25" s="758"/>
      <c r="HP25" s="758"/>
      <c r="HQ25" s="758"/>
      <c r="HR25" s="758"/>
      <c r="HS25" s="758"/>
      <c r="HT25" s="758"/>
      <c r="HU25" s="758"/>
      <c r="HV25" s="758"/>
      <c r="HW25" s="758"/>
      <c r="HX25" s="758"/>
      <c r="HY25" s="758"/>
      <c r="HZ25" s="758"/>
      <c r="IA25" s="758"/>
      <c r="IB25" s="758"/>
      <c r="IC25" s="758"/>
      <c r="ID25" s="758"/>
      <c r="IE25" s="758"/>
      <c r="IF25" s="758"/>
      <c r="IG25" s="758"/>
      <c r="IH25" s="758"/>
      <c r="II25" s="758"/>
      <c r="IJ25" s="758"/>
      <c r="IK25" s="758"/>
      <c r="IL25" s="758"/>
      <c r="IM25" s="758"/>
      <c r="IN25" s="758"/>
      <c r="IO25" s="758"/>
      <c r="IP25" s="758"/>
      <c r="IQ25" s="758"/>
      <c r="IR25" s="758"/>
      <c r="IS25" s="758"/>
      <c r="IT25" s="758"/>
      <c r="IU25" s="758"/>
      <c r="IV25" s="758"/>
      <c r="IW25" s="758"/>
      <c r="IX25" s="758"/>
      <c r="IY25" s="758"/>
      <c r="IZ25" s="758"/>
      <c r="JA25" s="758"/>
      <c r="JB25" s="758"/>
      <c r="JC25" s="758"/>
      <c r="JD25" s="758"/>
      <c r="JE25" s="758"/>
      <c r="JF25" s="758"/>
      <c r="JG25" s="758"/>
      <c r="JH25" s="758"/>
      <c r="JI25" s="758"/>
      <c r="JJ25" s="758"/>
      <c r="JK25" s="758"/>
      <c r="JL25" s="758"/>
      <c r="JM25" s="758"/>
      <c r="JN25" s="758"/>
      <c r="JO25" s="758"/>
      <c r="JP25" s="758"/>
      <c r="JQ25" s="758"/>
      <c r="JR25" s="758"/>
      <c r="JS25" s="758"/>
      <c r="JT25" s="758"/>
      <c r="JU25" s="758"/>
      <c r="JV25" s="758"/>
      <c r="JW25" s="758"/>
      <c r="JX25" s="758"/>
      <c r="JY25" s="758"/>
      <c r="JZ25" s="758"/>
      <c r="KA25" s="758"/>
      <c r="KB25" s="758"/>
      <c r="KC25" s="758"/>
      <c r="KD25" s="758"/>
      <c r="KE25" s="758"/>
      <c r="KF25" s="758"/>
      <c r="KG25" s="758"/>
      <c r="KH25" s="758"/>
      <c r="KI25" s="758"/>
      <c r="KJ25" s="758"/>
      <c r="KK25" s="758"/>
      <c r="KL25" s="758"/>
      <c r="KM25" s="758"/>
      <c r="KN25" s="758"/>
      <c r="KO25" s="758"/>
      <c r="KP25" s="758"/>
      <c r="KQ25" s="758"/>
      <c r="KR25" s="758"/>
      <c r="KS25" s="758"/>
      <c r="KT25" s="758"/>
      <c r="KU25" s="758"/>
      <c r="KV25" s="758"/>
      <c r="KW25" s="758"/>
      <c r="KX25" s="758"/>
      <c r="KY25" s="758"/>
      <c r="KZ25" s="758"/>
      <c r="LA25" s="758"/>
      <c r="LB25" s="758"/>
      <c r="LC25" s="758"/>
      <c r="LD25" s="758"/>
      <c r="LE25" s="758"/>
      <c r="LF25" s="758"/>
      <c r="LG25" s="758"/>
      <c r="LH25" s="758"/>
      <c r="LI25" s="758"/>
      <c r="LJ25" s="758"/>
      <c r="LK25" s="758"/>
      <c r="LL25" s="758"/>
      <c r="LM25" s="758"/>
      <c r="LN25" s="758"/>
      <c r="LO25" s="758"/>
      <c r="LP25" s="758"/>
      <c r="LQ25" s="758"/>
      <c r="LR25" s="758"/>
      <c r="LS25" s="758"/>
      <c r="LT25" s="758"/>
      <c r="LU25" s="758"/>
      <c r="LV25" s="758"/>
      <c r="LW25" s="758"/>
      <c r="LX25" s="758"/>
      <c r="LY25" s="758"/>
      <c r="LZ25" s="758"/>
      <c r="MA25" s="758"/>
      <c r="MB25" s="758"/>
      <c r="MC25" s="758"/>
      <c r="MD25" s="758"/>
      <c r="ME25" s="758"/>
      <c r="MF25" s="758"/>
      <c r="MG25" s="758"/>
      <c r="MH25" s="758"/>
      <c r="MI25" s="758"/>
      <c r="MJ25" s="758"/>
      <c r="MK25" s="758"/>
      <c r="ML25" s="758"/>
      <c r="MM25" s="758"/>
      <c r="MN25" s="758"/>
      <c r="MO25" s="758"/>
      <c r="MP25" s="758"/>
      <c r="MQ25" s="758"/>
      <c r="MR25" s="758"/>
      <c r="MS25" s="758"/>
      <c r="MT25" s="758"/>
      <c r="MU25" s="758"/>
      <c r="MV25" s="758"/>
      <c r="MW25" s="758"/>
      <c r="MX25" s="758"/>
      <c r="MY25" s="758"/>
      <c r="MZ25" s="758"/>
      <c r="NA25" s="758"/>
      <c r="NB25" s="758"/>
      <c r="NC25" s="758"/>
      <c r="ND25" s="758"/>
      <c r="NE25" s="758"/>
    </row>
    <row r="26" spans="1:369" ht="12.75" customHeight="1">
      <c r="A26" s="857"/>
      <c r="B26" s="798" t="s">
        <v>717</v>
      </c>
      <c r="C26" s="107">
        <f>IF($C$22="Note b","N.A.",$C$22*$C$11)</f>
        <v>0.80360319999999996</v>
      </c>
      <c r="D26" s="1057" t="s">
        <v>1169</v>
      </c>
      <c r="E26" s="780"/>
      <c r="F26" s="780"/>
      <c r="G26" s="835"/>
      <c r="H26" s="773"/>
      <c r="I26" s="836"/>
      <c r="J26" s="1081"/>
      <c r="K26" s="1065" t="s">
        <v>1024</v>
      </c>
      <c r="L26" s="1115"/>
      <c r="M26" s="1112" t="s">
        <v>159</v>
      </c>
      <c r="N26" s="1112"/>
      <c r="O26" s="1114"/>
      <c r="T26" s="1101" t="s">
        <v>957</v>
      </c>
      <c r="U26" s="1102" t="s">
        <v>982</v>
      </c>
      <c r="V26" s="1103">
        <v>2.5</v>
      </c>
      <c r="W26" s="1103">
        <v>2.5</v>
      </c>
      <c r="X26" s="1109"/>
      <c r="Y26" s="1088"/>
      <c r="Z26" s="1088"/>
      <c r="AA26" s="770"/>
      <c r="AB26" s="758"/>
      <c r="AC26" s="758"/>
      <c r="AD26" s="758"/>
      <c r="AE26" s="758"/>
      <c r="AF26" s="758"/>
      <c r="AG26" s="758"/>
      <c r="AH26" s="770"/>
      <c r="AI26" s="1001" t="s">
        <v>1193</v>
      </c>
      <c r="AJ26" s="1002"/>
      <c r="AK26" s="1003"/>
      <c r="AL26" s="1003"/>
      <c r="AM26" s="1004"/>
      <c r="AN26" s="1005"/>
      <c r="AO26" s="1006"/>
      <c r="AP26" s="753"/>
      <c r="AQ26" s="803"/>
      <c r="AR26" s="803"/>
      <c r="AS26" s="803"/>
      <c r="AT26" s="803"/>
      <c r="AU26" s="803"/>
      <c r="AV26" s="803"/>
      <c r="AW26" s="803"/>
      <c r="AX26" s="803"/>
      <c r="AY26" s="803"/>
      <c r="AZ26" s="803"/>
      <c r="BA26" s="803"/>
      <c r="BB26" s="803"/>
      <c r="BC26" s="803"/>
      <c r="BD26" s="803"/>
      <c r="BE26" s="803"/>
      <c r="BF26" s="803"/>
      <c r="BG26" s="803"/>
      <c r="BH26" s="803"/>
      <c r="BI26" s="803"/>
      <c r="BJ26" s="803"/>
      <c r="BK26" s="803"/>
      <c r="BL26" s="803"/>
      <c r="BM26" s="803"/>
      <c r="BN26" s="803"/>
      <c r="BO26" s="774"/>
      <c r="BP26" s="774"/>
      <c r="BQ26" s="774"/>
      <c r="BR26" s="774"/>
      <c r="BS26" s="774"/>
      <c r="BT26" s="774"/>
      <c r="BU26" s="774"/>
      <c r="BV26" s="774"/>
      <c r="BW26" s="774"/>
      <c r="BX26" s="774"/>
      <c r="BY26" s="774"/>
      <c r="BZ26" s="774"/>
      <c r="CA26" s="774"/>
      <c r="CB26" s="774"/>
      <c r="CC26" s="774"/>
      <c r="CD26" s="774"/>
      <c r="CE26" s="774"/>
      <c r="CF26" s="774"/>
      <c r="CG26" s="774"/>
      <c r="CH26" s="774"/>
      <c r="CI26" s="774"/>
      <c r="CJ26" s="774"/>
      <c r="CK26" s="774"/>
      <c r="CL26" s="774"/>
      <c r="CM26" s="774"/>
      <c r="CN26" s="770"/>
      <c r="CO26" s="770"/>
      <c r="CP26" s="770"/>
      <c r="CQ26" s="770"/>
      <c r="CR26" s="770"/>
      <c r="CS26" s="770"/>
      <c r="CT26" s="770"/>
      <c r="CU26" s="770"/>
      <c r="CV26" s="770"/>
      <c r="CW26" s="770"/>
      <c r="CX26" s="770"/>
      <c r="CY26" s="770"/>
      <c r="CZ26" s="770"/>
      <c r="DA26" s="770"/>
      <c r="DB26" s="770"/>
      <c r="DC26" s="770"/>
      <c r="DD26" s="770"/>
      <c r="DE26" s="770"/>
      <c r="DF26" s="770"/>
      <c r="DG26" s="770"/>
      <c r="DH26" s="770"/>
      <c r="DI26" s="770"/>
      <c r="DJ26" s="770"/>
      <c r="DK26" s="770"/>
      <c r="DL26" s="770"/>
      <c r="DM26" s="770"/>
      <c r="DN26" s="776"/>
      <c r="DO26" s="758"/>
      <c r="DP26" s="758"/>
      <c r="DQ26" s="758"/>
      <c r="DR26" s="753"/>
      <c r="DS26" s="778"/>
      <c r="DT26" s="770"/>
      <c r="DU26" s="758"/>
      <c r="DV26" s="758"/>
      <c r="DW26" s="819"/>
      <c r="DX26" s="758"/>
      <c r="DY26" s="758"/>
      <c r="DZ26" s="758"/>
      <c r="EA26" s="758"/>
      <c r="EB26" s="758"/>
      <c r="EC26" s="758"/>
      <c r="ED26" s="758"/>
      <c r="EE26" s="758"/>
      <c r="EF26" s="758"/>
      <c r="EG26" s="758"/>
      <c r="EH26" s="758"/>
      <c r="EI26" s="758"/>
      <c r="EJ26" s="758"/>
      <c r="EK26" s="758"/>
      <c r="EL26" s="758"/>
      <c r="EM26" s="758"/>
      <c r="EN26" s="758"/>
      <c r="EO26" s="758"/>
      <c r="EP26" s="758"/>
      <c r="EQ26" s="758"/>
      <c r="ER26" s="758"/>
      <c r="ES26" s="758"/>
      <c r="ET26" s="758"/>
      <c r="EU26" s="758"/>
      <c r="EV26" s="758"/>
      <c r="EW26" s="758"/>
      <c r="EX26" s="758"/>
      <c r="EY26" s="758"/>
      <c r="EZ26" s="758"/>
      <c r="FA26" s="758"/>
      <c r="FB26" s="758"/>
      <c r="FC26" s="758"/>
      <c r="FD26" s="758"/>
      <c r="FE26" s="758"/>
      <c r="FF26" s="758"/>
      <c r="FG26" s="758"/>
      <c r="FH26" s="758"/>
      <c r="FI26" s="758"/>
      <c r="FJ26" s="758"/>
      <c r="FK26" s="758"/>
      <c r="FL26" s="758"/>
      <c r="FM26" s="758"/>
      <c r="FN26" s="758"/>
      <c r="FO26" s="758"/>
      <c r="FP26" s="758"/>
      <c r="FQ26" s="758"/>
      <c r="FR26" s="758"/>
      <c r="FS26" s="758"/>
      <c r="FT26" s="758"/>
      <c r="FU26" s="758"/>
      <c r="FV26" s="758"/>
      <c r="FW26" s="758"/>
      <c r="FX26" s="758"/>
      <c r="FY26" s="758"/>
      <c r="FZ26" s="758"/>
      <c r="GA26" s="758"/>
      <c r="GB26" s="758"/>
      <c r="GC26" s="758"/>
      <c r="GD26" s="758"/>
      <c r="GE26" s="758"/>
      <c r="GF26" s="758"/>
      <c r="GG26" s="758"/>
      <c r="GH26" s="758"/>
      <c r="GI26" s="758"/>
      <c r="GJ26" s="758"/>
      <c r="GK26" s="758"/>
      <c r="GL26" s="758"/>
      <c r="GM26" s="758"/>
      <c r="GN26" s="758"/>
      <c r="GO26" s="758"/>
      <c r="GP26" s="758"/>
      <c r="GQ26" s="758"/>
      <c r="GR26" s="758"/>
      <c r="GS26" s="758"/>
      <c r="GT26" s="758"/>
      <c r="GU26" s="758"/>
      <c r="GV26" s="758"/>
      <c r="GW26" s="758"/>
      <c r="GX26" s="758"/>
      <c r="GY26" s="758"/>
      <c r="GZ26" s="758"/>
      <c r="HA26" s="758"/>
      <c r="HB26" s="758"/>
      <c r="HC26" s="758"/>
      <c r="HD26" s="758"/>
      <c r="HE26" s="758"/>
      <c r="HF26" s="758"/>
      <c r="HG26" s="758"/>
      <c r="HH26" s="758"/>
      <c r="HI26" s="758"/>
      <c r="HJ26" s="758"/>
      <c r="HK26" s="758"/>
      <c r="HL26" s="758"/>
      <c r="HM26" s="758"/>
      <c r="HN26" s="758"/>
      <c r="HO26" s="758"/>
      <c r="HP26" s="758"/>
      <c r="HQ26" s="758"/>
      <c r="HR26" s="758"/>
      <c r="HS26" s="758"/>
      <c r="HT26" s="758"/>
      <c r="HU26" s="758"/>
      <c r="HV26" s="758"/>
      <c r="HW26" s="758"/>
      <c r="HX26" s="758"/>
      <c r="HY26" s="758"/>
      <c r="HZ26" s="758"/>
      <c r="IA26" s="758"/>
      <c r="IB26" s="758"/>
      <c r="IC26" s="758"/>
      <c r="ID26" s="758"/>
      <c r="IE26" s="758"/>
      <c r="IF26" s="758"/>
      <c r="IG26" s="758"/>
      <c r="IH26" s="758"/>
      <c r="II26" s="758"/>
      <c r="IJ26" s="758"/>
      <c r="IK26" s="758"/>
      <c r="IL26" s="758"/>
      <c r="IM26" s="758"/>
      <c r="IN26" s="758"/>
      <c r="IO26" s="758"/>
      <c r="IP26" s="758"/>
      <c r="IQ26" s="758"/>
      <c r="IR26" s="758"/>
      <c r="IS26" s="758"/>
      <c r="IT26" s="758"/>
      <c r="IU26" s="758"/>
      <c r="IV26" s="758"/>
      <c r="IW26" s="758"/>
      <c r="IX26" s="758"/>
      <c r="IY26" s="758"/>
      <c r="IZ26" s="758"/>
      <c r="JA26" s="758"/>
      <c r="JB26" s="758"/>
      <c r="JC26" s="758"/>
      <c r="JD26" s="758"/>
      <c r="JE26" s="758"/>
      <c r="JF26" s="758"/>
      <c r="JG26" s="758"/>
      <c r="JH26" s="758"/>
      <c r="JI26" s="758"/>
      <c r="JJ26" s="758"/>
      <c r="JK26" s="758"/>
      <c r="JL26" s="758"/>
      <c r="JM26" s="758"/>
      <c r="JN26" s="758"/>
      <c r="JO26" s="758"/>
      <c r="JP26" s="758"/>
      <c r="JQ26" s="758"/>
      <c r="JR26" s="758"/>
      <c r="JS26" s="758"/>
      <c r="JT26" s="758"/>
      <c r="JU26" s="758"/>
      <c r="JV26" s="758"/>
      <c r="JW26" s="758"/>
      <c r="JX26" s="758"/>
      <c r="JY26" s="758"/>
      <c r="JZ26" s="758"/>
      <c r="KA26" s="758"/>
      <c r="KB26" s="758"/>
      <c r="KC26" s="758"/>
      <c r="KD26" s="758"/>
      <c r="KE26" s="758"/>
      <c r="KF26" s="758"/>
      <c r="KG26" s="758"/>
      <c r="KH26" s="758"/>
      <c r="KI26" s="758"/>
      <c r="KJ26" s="758"/>
      <c r="KK26" s="758"/>
      <c r="KL26" s="758"/>
      <c r="KM26" s="758"/>
      <c r="KN26" s="758"/>
      <c r="KO26" s="758"/>
      <c r="KP26" s="758"/>
      <c r="KQ26" s="758"/>
      <c r="KR26" s="758"/>
      <c r="KS26" s="758"/>
      <c r="KT26" s="758"/>
      <c r="KU26" s="758"/>
      <c r="KV26" s="758"/>
      <c r="KW26" s="758"/>
      <c r="KX26" s="758"/>
      <c r="KY26" s="758"/>
      <c r="KZ26" s="758"/>
      <c r="LA26" s="758"/>
      <c r="LB26" s="758"/>
      <c r="LC26" s="758"/>
      <c r="LD26" s="758"/>
      <c r="LE26" s="758"/>
      <c r="LF26" s="758"/>
      <c r="LG26" s="758"/>
      <c r="LH26" s="758"/>
      <c r="LI26" s="758"/>
      <c r="LJ26" s="758"/>
      <c r="LK26" s="758"/>
      <c r="LL26" s="758"/>
      <c r="LM26" s="758"/>
      <c r="LN26" s="758"/>
      <c r="LO26" s="758"/>
      <c r="LP26" s="758"/>
      <c r="LQ26" s="758"/>
      <c r="LR26" s="758"/>
      <c r="LS26" s="758"/>
      <c r="LT26" s="758"/>
      <c r="LU26" s="758"/>
      <c r="LV26" s="758"/>
      <c r="LW26" s="758"/>
      <c r="LX26" s="758"/>
      <c r="LY26" s="758"/>
      <c r="LZ26" s="758"/>
      <c r="MA26" s="758"/>
      <c r="MB26" s="758"/>
      <c r="MC26" s="758"/>
      <c r="MD26" s="758"/>
      <c r="ME26" s="758"/>
      <c r="MF26" s="758"/>
      <c r="MG26" s="758"/>
      <c r="MH26" s="758"/>
      <c r="MI26" s="758"/>
      <c r="MJ26" s="758"/>
      <c r="MK26" s="758"/>
      <c r="ML26" s="758"/>
      <c r="MM26" s="758"/>
      <c r="MN26" s="758"/>
      <c r="MO26" s="758"/>
      <c r="MP26" s="758"/>
      <c r="MQ26" s="758"/>
      <c r="MR26" s="758"/>
      <c r="MS26" s="758"/>
      <c r="MT26" s="758"/>
      <c r="MU26" s="758"/>
      <c r="MV26" s="758"/>
      <c r="MW26" s="758"/>
      <c r="MX26" s="758"/>
      <c r="MY26" s="758"/>
      <c r="MZ26" s="758"/>
      <c r="NA26" s="758"/>
      <c r="NB26" s="758"/>
      <c r="NC26" s="758"/>
      <c r="ND26" s="758"/>
      <c r="NE26" s="758"/>
    </row>
    <row r="27" spans="1:369" ht="12.75" customHeight="1">
      <c r="A27" s="854"/>
      <c r="B27" s="798" t="s">
        <v>719</v>
      </c>
      <c r="C27" s="109">
        <f>IF($C$23="Note b","N.A.",$C$23*$C$12)</f>
        <v>0.51263199999999998</v>
      </c>
      <c r="D27" s="1057" t="s">
        <v>1170</v>
      </c>
      <c r="E27" s="780"/>
      <c r="F27" s="837"/>
      <c r="G27" s="838"/>
      <c r="H27" s="773"/>
      <c r="I27" s="829"/>
      <c r="K27" s="1065" t="s">
        <v>1028</v>
      </c>
      <c r="L27" s="1119" t="s">
        <v>51</v>
      </c>
      <c r="M27" s="1120" t="s">
        <v>158</v>
      </c>
      <c r="N27" s="1121" t="s">
        <v>27</v>
      </c>
      <c r="O27" s="1121" t="s">
        <v>34</v>
      </c>
      <c r="P27" s="1110"/>
      <c r="T27" s="1108" t="s">
        <v>959</v>
      </c>
      <c r="U27" s="1098" t="s">
        <v>1054</v>
      </c>
      <c r="V27" s="1099">
        <v>1</v>
      </c>
      <c r="W27" s="1099">
        <v>3.5</v>
      </c>
      <c r="X27" s="1100"/>
      <c r="Y27" s="1088"/>
      <c r="Z27" s="1088"/>
      <c r="AA27" s="753"/>
      <c r="AB27" s="770"/>
      <c r="AC27" s="753"/>
      <c r="AD27" s="753"/>
      <c r="AE27" s="753"/>
      <c r="AF27" s="753"/>
      <c r="AG27" s="753"/>
      <c r="AH27" s="753"/>
      <c r="AI27" s="1007"/>
      <c r="AJ27" s="1008" t="s">
        <v>1056</v>
      </c>
      <c r="AK27" s="1009"/>
      <c r="AL27" s="1009"/>
      <c r="AM27" s="1010"/>
      <c r="AN27" s="1011">
        <v>1</v>
      </c>
      <c r="AO27" s="1012">
        <v>2.5</v>
      </c>
      <c r="AP27" s="753"/>
      <c r="AQ27" s="753"/>
      <c r="AR27" s="753"/>
      <c r="AS27" s="753"/>
      <c r="AT27" s="753"/>
      <c r="AU27" s="753"/>
      <c r="AV27" s="753"/>
      <c r="AW27" s="753"/>
      <c r="AX27" s="753"/>
      <c r="AY27" s="753"/>
      <c r="AZ27" s="753"/>
      <c r="BA27" s="753"/>
      <c r="BB27" s="753"/>
      <c r="BC27" s="753"/>
      <c r="BD27" s="753"/>
      <c r="BE27" s="753"/>
      <c r="BF27" s="753"/>
      <c r="BG27" s="753"/>
      <c r="BH27" s="753"/>
      <c r="BI27" s="753"/>
      <c r="BJ27" s="753"/>
      <c r="BK27" s="753"/>
      <c r="BL27" s="753"/>
      <c r="BM27" s="753"/>
      <c r="BN27" s="753"/>
      <c r="BO27" s="753"/>
      <c r="BP27" s="753"/>
      <c r="BQ27" s="753"/>
      <c r="BR27" s="753"/>
      <c r="BS27" s="753"/>
      <c r="BT27" s="753"/>
      <c r="BU27" s="753"/>
      <c r="BV27" s="753"/>
      <c r="BW27" s="753"/>
      <c r="BX27" s="753"/>
      <c r="BY27" s="753"/>
      <c r="BZ27" s="753"/>
      <c r="CA27" s="753"/>
      <c r="CB27" s="753"/>
      <c r="CC27" s="753"/>
      <c r="CD27" s="753"/>
      <c r="CE27" s="753"/>
      <c r="CF27" s="753"/>
      <c r="CG27" s="753"/>
      <c r="CH27" s="753"/>
      <c r="CI27" s="753"/>
      <c r="CJ27" s="753"/>
      <c r="CK27" s="753"/>
      <c r="CL27" s="753"/>
      <c r="CM27" s="753"/>
      <c r="CN27" s="753"/>
      <c r="CO27" s="753"/>
      <c r="CP27" s="753"/>
      <c r="CQ27" s="753"/>
      <c r="CR27" s="753"/>
      <c r="CS27" s="753"/>
      <c r="CT27" s="753"/>
      <c r="CU27" s="753"/>
      <c r="CV27" s="753"/>
      <c r="CW27" s="753"/>
      <c r="CX27" s="753"/>
      <c r="CY27" s="753"/>
      <c r="CZ27" s="753"/>
      <c r="DA27" s="753"/>
      <c r="DB27" s="753"/>
      <c r="DC27" s="753"/>
      <c r="DD27" s="753"/>
      <c r="DE27" s="753"/>
      <c r="DF27" s="753"/>
      <c r="DG27" s="753"/>
      <c r="DH27" s="753"/>
      <c r="DI27" s="753"/>
      <c r="DJ27" s="753"/>
      <c r="DK27" s="753"/>
      <c r="DL27" s="753"/>
      <c r="DM27" s="767"/>
      <c r="DN27" s="776"/>
      <c r="DO27" s="758"/>
      <c r="DP27" s="758"/>
      <c r="DQ27" s="758"/>
      <c r="DR27" s="753"/>
      <c r="DS27" s="778"/>
      <c r="DT27" s="770"/>
      <c r="DU27" s="758"/>
      <c r="DV27" s="758"/>
      <c r="DW27" s="819"/>
      <c r="DX27" s="758"/>
      <c r="DY27" s="758"/>
      <c r="DZ27" s="758"/>
      <c r="EA27" s="758"/>
      <c r="EB27" s="758"/>
      <c r="EC27" s="758"/>
      <c r="ED27" s="758"/>
      <c r="EE27" s="758"/>
      <c r="EF27" s="758"/>
      <c r="EG27" s="758"/>
      <c r="EH27" s="758"/>
      <c r="EI27" s="758"/>
      <c r="EJ27" s="758"/>
      <c r="EK27" s="758"/>
      <c r="EL27" s="758"/>
      <c r="EM27" s="758"/>
      <c r="EN27" s="758"/>
      <c r="EO27" s="758"/>
      <c r="EP27" s="758"/>
      <c r="EQ27" s="758"/>
      <c r="ER27" s="758"/>
      <c r="ES27" s="758"/>
      <c r="ET27" s="758"/>
      <c r="EU27" s="758"/>
      <c r="EV27" s="758"/>
      <c r="EW27" s="758"/>
      <c r="EX27" s="758"/>
      <c r="EY27" s="758"/>
      <c r="EZ27" s="758"/>
      <c r="FA27" s="758"/>
      <c r="FB27" s="758"/>
      <c r="FC27" s="758"/>
      <c r="FD27" s="758"/>
      <c r="FE27" s="758"/>
      <c r="FF27" s="758"/>
      <c r="FG27" s="758"/>
      <c r="FH27" s="758"/>
      <c r="FI27" s="758"/>
      <c r="FJ27" s="758"/>
      <c r="FK27" s="758"/>
      <c r="FL27" s="758"/>
      <c r="FM27" s="758"/>
      <c r="FN27" s="758"/>
      <c r="FO27" s="758"/>
      <c r="FP27" s="758"/>
      <c r="FQ27" s="758"/>
      <c r="FR27" s="758"/>
      <c r="FS27" s="758"/>
      <c r="FT27" s="758"/>
      <c r="FU27" s="758"/>
      <c r="FV27" s="758"/>
      <c r="FW27" s="758"/>
      <c r="FX27" s="758"/>
      <c r="FY27" s="758"/>
      <c r="FZ27" s="758"/>
      <c r="GA27" s="758"/>
      <c r="GB27" s="758"/>
      <c r="GC27" s="758"/>
      <c r="GD27" s="758"/>
      <c r="GE27" s="758"/>
      <c r="GF27" s="758"/>
      <c r="GG27" s="758"/>
      <c r="GH27" s="758"/>
      <c r="GI27" s="758"/>
      <c r="GJ27" s="758"/>
      <c r="GK27" s="758"/>
      <c r="GL27" s="758"/>
      <c r="GM27" s="758"/>
      <c r="GN27" s="758"/>
      <c r="GO27" s="758"/>
      <c r="GP27" s="758"/>
      <c r="GQ27" s="758"/>
      <c r="GR27" s="758"/>
      <c r="GS27" s="758"/>
      <c r="GT27" s="758"/>
      <c r="GU27" s="758"/>
      <c r="GV27" s="758"/>
      <c r="GW27" s="758"/>
      <c r="GX27" s="758"/>
      <c r="GY27" s="758"/>
      <c r="GZ27" s="758"/>
      <c r="HA27" s="758"/>
      <c r="HB27" s="758"/>
      <c r="HC27" s="758"/>
      <c r="HD27" s="758"/>
      <c r="HE27" s="758"/>
      <c r="HF27" s="758"/>
      <c r="HG27" s="758"/>
      <c r="HH27" s="758"/>
      <c r="HI27" s="758"/>
      <c r="HJ27" s="758"/>
      <c r="HK27" s="758"/>
      <c r="HL27" s="758"/>
      <c r="HM27" s="758"/>
      <c r="HN27" s="758"/>
      <c r="HO27" s="758"/>
      <c r="HP27" s="758"/>
      <c r="HQ27" s="758"/>
      <c r="HR27" s="758"/>
      <c r="HS27" s="758"/>
      <c r="HT27" s="758"/>
      <c r="HU27" s="758"/>
      <c r="HV27" s="758"/>
      <c r="HW27" s="758"/>
      <c r="HX27" s="758"/>
      <c r="HY27" s="758"/>
      <c r="HZ27" s="758"/>
      <c r="IA27" s="758"/>
      <c r="IB27" s="758"/>
      <c r="IC27" s="758"/>
      <c r="ID27" s="758"/>
      <c r="IE27" s="758"/>
      <c r="IF27" s="758"/>
      <c r="IG27" s="758"/>
      <c r="IH27" s="758"/>
      <c r="II27" s="758"/>
      <c r="IJ27" s="758"/>
      <c r="IK27" s="758"/>
      <c r="IL27" s="758"/>
      <c r="IM27" s="758"/>
      <c r="IN27" s="758"/>
      <c r="IO27" s="758"/>
      <c r="IP27" s="758"/>
      <c r="IQ27" s="758"/>
      <c r="IR27" s="758"/>
      <c r="IS27" s="758"/>
      <c r="IT27" s="758"/>
      <c r="IU27" s="758"/>
      <c r="IV27" s="758"/>
      <c r="IW27" s="758"/>
      <c r="IX27" s="758"/>
      <c r="IY27" s="758"/>
      <c r="IZ27" s="758"/>
      <c r="JA27" s="758"/>
      <c r="JB27" s="758"/>
      <c r="JC27" s="758"/>
      <c r="JD27" s="758"/>
      <c r="JE27" s="758"/>
      <c r="JF27" s="758"/>
      <c r="JG27" s="758"/>
      <c r="JH27" s="758"/>
      <c r="JI27" s="758"/>
      <c r="JJ27" s="758"/>
      <c r="JK27" s="758"/>
      <c r="JL27" s="758"/>
      <c r="JM27" s="758"/>
      <c r="JN27" s="758"/>
      <c r="JO27" s="758"/>
      <c r="JP27" s="758"/>
      <c r="JQ27" s="758"/>
      <c r="JR27" s="758"/>
      <c r="JS27" s="758"/>
      <c r="JT27" s="758"/>
      <c r="JU27" s="758"/>
      <c r="JV27" s="758"/>
      <c r="JW27" s="758"/>
      <c r="JX27" s="758"/>
      <c r="JY27" s="758"/>
      <c r="JZ27" s="758"/>
      <c r="KA27" s="758"/>
      <c r="KB27" s="758"/>
      <c r="KC27" s="758"/>
      <c r="KD27" s="758"/>
      <c r="KE27" s="758"/>
      <c r="KF27" s="758"/>
      <c r="KG27" s="758"/>
      <c r="KH27" s="758"/>
      <c r="KI27" s="758"/>
      <c r="KJ27" s="758"/>
      <c r="KK27" s="758"/>
      <c r="KL27" s="758"/>
      <c r="KM27" s="758"/>
      <c r="KN27" s="758"/>
      <c r="KO27" s="758"/>
      <c r="KP27" s="758"/>
      <c r="KQ27" s="758"/>
      <c r="KR27" s="758"/>
      <c r="KS27" s="758"/>
      <c r="KT27" s="758"/>
      <c r="KU27" s="758"/>
      <c r="KV27" s="758"/>
      <c r="KW27" s="758"/>
      <c r="KX27" s="758"/>
      <c r="KY27" s="758"/>
      <c r="KZ27" s="758"/>
      <c r="LA27" s="758"/>
      <c r="LB27" s="758"/>
      <c r="LC27" s="758"/>
      <c r="LD27" s="758"/>
      <c r="LE27" s="758"/>
      <c r="LF27" s="758"/>
      <c r="LG27" s="758"/>
      <c r="LH27" s="758"/>
      <c r="LI27" s="758"/>
      <c r="LJ27" s="758"/>
      <c r="LK27" s="758"/>
      <c r="LL27" s="758"/>
      <c r="LM27" s="758"/>
      <c r="LN27" s="758"/>
      <c r="LO27" s="758"/>
      <c r="LP27" s="758"/>
      <c r="LQ27" s="758"/>
      <c r="LR27" s="758"/>
      <c r="LS27" s="758"/>
      <c r="LT27" s="758"/>
      <c r="LU27" s="758"/>
      <c r="LV27" s="758"/>
      <c r="LW27" s="758"/>
      <c r="LX27" s="758"/>
      <c r="LY27" s="758"/>
      <c r="LZ27" s="758"/>
      <c r="MA27" s="758"/>
      <c r="MB27" s="758"/>
      <c r="MC27" s="758"/>
      <c r="MD27" s="758"/>
      <c r="ME27" s="758"/>
      <c r="MF27" s="758"/>
      <c r="MG27" s="758"/>
      <c r="MH27" s="758"/>
      <c r="MI27" s="758"/>
      <c r="MJ27" s="758"/>
      <c r="MK27" s="758"/>
      <c r="ML27" s="758"/>
      <c r="MM27" s="758"/>
      <c r="MN27" s="758"/>
      <c r="MO27" s="758"/>
      <c r="MP27" s="758"/>
      <c r="MQ27" s="758"/>
      <c r="MR27" s="758"/>
      <c r="MS27" s="758"/>
      <c r="MT27" s="758"/>
      <c r="MU27" s="758"/>
      <c r="MV27" s="758"/>
      <c r="MW27" s="758"/>
      <c r="MX27" s="758"/>
      <c r="MY27" s="758"/>
      <c r="MZ27" s="758"/>
      <c r="NA27" s="758"/>
      <c r="NB27" s="758"/>
      <c r="NC27" s="758"/>
      <c r="ND27" s="758"/>
      <c r="NE27" s="758"/>
    </row>
    <row r="28" spans="1:369" ht="12.75" customHeight="1">
      <c r="A28" s="857"/>
      <c r="B28" s="780"/>
      <c r="C28" s="89"/>
      <c r="D28" s="780"/>
      <c r="E28" s="780"/>
      <c r="F28" s="780"/>
      <c r="G28" s="753"/>
      <c r="H28" s="753"/>
      <c r="I28" s="834"/>
      <c r="K28" s="1065" t="s">
        <v>1032</v>
      </c>
      <c r="L28" s="1123" t="s">
        <v>52</v>
      </c>
      <c r="M28" s="1123" t="s">
        <v>29</v>
      </c>
      <c r="N28" s="1123" t="s">
        <v>29</v>
      </c>
      <c r="O28" s="1123" t="s">
        <v>29</v>
      </c>
      <c r="P28" s="1110"/>
      <c r="Q28" s="1063"/>
      <c r="T28" s="1116" t="s">
        <v>961</v>
      </c>
      <c r="U28" s="1117" t="s">
        <v>1055</v>
      </c>
      <c r="V28" s="1118">
        <v>1</v>
      </c>
      <c r="W28" s="1118">
        <v>2.5</v>
      </c>
      <c r="X28" s="1124"/>
      <c r="Y28" s="1061"/>
      <c r="Z28" s="1061"/>
      <c r="AA28" s="753"/>
      <c r="AB28" s="758"/>
      <c r="AC28" s="758"/>
      <c r="AD28" s="758"/>
      <c r="AE28" s="758"/>
      <c r="AF28" s="758"/>
      <c r="AG28" s="758"/>
      <c r="AH28" s="753"/>
      <c r="AI28" s="1013"/>
      <c r="AJ28" s="1014" t="s">
        <v>1058</v>
      </c>
      <c r="AK28" s="1015"/>
      <c r="AL28" s="1015"/>
      <c r="AM28" s="1016"/>
      <c r="AN28" s="1017">
        <v>1</v>
      </c>
      <c r="AO28" s="1018">
        <v>1.5</v>
      </c>
      <c r="AP28" s="758"/>
      <c r="AQ28" s="753"/>
      <c r="AR28" s="753"/>
      <c r="AS28" s="753"/>
      <c r="AT28" s="753"/>
      <c r="AU28" s="753"/>
      <c r="AV28" s="753"/>
      <c r="AW28" s="753"/>
      <c r="AX28" s="753"/>
      <c r="AY28" s="753"/>
      <c r="AZ28" s="753"/>
      <c r="BA28" s="753"/>
      <c r="BB28" s="753"/>
      <c r="BC28" s="753"/>
      <c r="BD28" s="753"/>
      <c r="BE28" s="753"/>
      <c r="BF28" s="753"/>
      <c r="BG28" s="753"/>
      <c r="BH28" s="753"/>
      <c r="BI28" s="753"/>
      <c r="BJ28" s="753"/>
      <c r="BK28" s="753"/>
      <c r="BL28" s="753"/>
      <c r="BM28" s="753"/>
      <c r="BN28" s="753"/>
      <c r="BO28" s="753"/>
      <c r="BP28" s="753"/>
      <c r="BQ28" s="753"/>
      <c r="BR28" s="753"/>
      <c r="BS28" s="753"/>
      <c r="BT28" s="753"/>
      <c r="BU28" s="753"/>
      <c r="BV28" s="753"/>
      <c r="BW28" s="753"/>
      <c r="BX28" s="753"/>
      <c r="BY28" s="753"/>
      <c r="BZ28" s="753"/>
      <c r="CA28" s="753"/>
      <c r="CB28" s="753"/>
      <c r="CC28" s="753"/>
      <c r="CD28" s="753"/>
      <c r="CE28" s="753"/>
      <c r="CF28" s="753"/>
      <c r="CG28" s="753"/>
      <c r="CH28" s="753"/>
      <c r="CI28" s="753"/>
      <c r="CJ28" s="753"/>
      <c r="CK28" s="753"/>
      <c r="CL28" s="753"/>
      <c r="CM28" s="753"/>
      <c r="CN28" s="753"/>
      <c r="CO28" s="753"/>
      <c r="CP28" s="753"/>
      <c r="CQ28" s="753"/>
      <c r="CR28" s="753"/>
      <c r="CS28" s="753"/>
      <c r="CT28" s="753"/>
      <c r="CU28" s="753"/>
      <c r="CV28" s="753"/>
      <c r="CW28" s="753"/>
      <c r="CX28" s="753"/>
      <c r="CY28" s="753"/>
      <c r="CZ28" s="753"/>
      <c r="DA28" s="753"/>
      <c r="DB28" s="753"/>
      <c r="DC28" s="753"/>
      <c r="DD28" s="753"/>
      <c r="DE28" s="753"/>
      <c r="DF28" s="753"/>
      <c r="DG28" s="753"/>
      <c r="DH28" s="753"/>
      <c r="DI28" s="753"/>
      <c r="DJ28" s="753"/>
      <c r="DK28" s="753"/>
      <c r="DL28" s="753"/>
      <c r="DM28" s="767"/>
      <c r="DN28" s="776"/>
      <c r="DO28" s="758"/>
      <c r="DP28" s="758"/>
      <c r="DQ28" s="758"/>
      <c r="DR28" s="753"/>
      <c r="DS28" s="778"/>
      <c r="DT28" s="770"/>
      <c r="DU28" s="758"/>
      <c r="DV28" s="758"/>
      <c r="DW28" s="819"/>
      <c r="DX28" s="758"/>
      <c r="DY28" s="758"/>
      <c r="DZ28" s="758"/>
      <c r="EA28" s="758"/>
      <c r="EB28" s="758"/>
      <c r="EC28" s="758"/>
      <c r="ED28" s="758"/>
      <c r="EE28" s="758"/>
      <c r="EF28" s="758"/>
      <c r="EG28" s="758"/>
      <c r="EH28" s="758"/>
      <c r="EI28" s="758"/>
      <c r="EJ28" s="758"/>
      <c r="EK28" s="758"/>
      <c r="EL28" s="758"/>
      <c r="EM28" s="758"/>
      <c r="EN28" s="758"/>
      <c r="EO28" s="758"/>
      <c r="EP28" s="758"/>
      <c r="EQ28" s="758"/>
      <c r="ER28" s="758"/>
      <c r="ES28" s="758"/>
      <c r="ET28" s="758"/>
      <c r="EU28" s="758"/>
      <c r="EV28" s="758"/>
      <c r="EW28" s="758"/>
      <c r="EX28" s="758"/>
      <c r="EY28" s="758"/>
      <c r="EZ28" s="758"/>
      <c r="FA28" s="758"/>
      <c r="FB28" s="758"/>
      <c r="FC28" s="758"/>
      <c r="FD28" s="758"/>
      <c r="FE28" s="758"/>
      <c r="FF28" s="758"/>
      <c r="FG28" s="758"/>
      <c r="FH28" s="758"/>
      <c r="FI28" s="758"/>
      <c r="FJ28" s="758"/>
      <c r="FK28" s="758"/>
      <c r="FL28" s="758"/>
      <c r="FM28" s="758"/>
      <c r="FN28" s="758"/>
      <c r="FO28" s="758"/>
      <c r="FP28" s="758"/>
      <c r="FQ28" s="758"/>
      <c r="FR28" s="758"/>
      <c r="FS28" s="758"/>
      <c r="FT28" s="758"/>
      <c r="FU28" s="758"/>
      <c r="FV28" s="758"/>
      <c r="FW28" s="758"/>
      <c r="FX28" s="758"/>
      <c r="FY28" s="758"/>
      <c r="FZ28" s="758"/>
      <c r="GA28" s="758"/>
      <c r="GB28" s="758"/>
      <c r="GC28" s="758"/>
      <c r="GD28" s="758"/>
      <c r="GE28" s="758"/>
      <c r="GF28" s="758"/>
      <c r="GG28" s="758"/>
      <c r="GH28" s="758"/>
      <c r="GI28" s="758"/>
      <c r="GJ28" s="758"/>
      <c r="GK28" s="758"/>
      <c r="GL28" s="758"/>
      <c r="GM28" s="758"/>
      <c r="GN28" s="758"/>
      <c r="GO28" s="758"/>
      <c r="GP28" s="758"/>
      <c r="GQ28" s="758"/>
      <c r="GR28" s="758"/>
      <c r="GS28" s="758"/>
      <c r="GT28" s="758"/>
      <c r="GU28" s="758"/>
      <c r="GV28" s="758"/>
      <c r="GW28" s="758"/>
      <c r="GX28" s="758"/>
      <c r="GY28" s="758"/>
      <c r="GZ28" s="758"/>
      <c r="HA28" s="758"/>
      <c r="HB28" s="758"/>
      <c r="HC28" s="758"/>
      <c r="HD28" s="758"/>
      <c r="HE28" s="758"/>
      <c r="HF28" s="758"/>
      <c r="HG28" s="758"/>
      <c r="HH28" s="758"/>
      <c r="HI28" s="758"/>
      <c r="HJ28" s="758"/>
      <c r="HK28" s="758"/>
      <c r="HL28" s="758"/>
      <c r="HM28" s="758"/>
      <c r="HN28" s="758"/>
      <c r="HO28" s="758"/>
      <c r="HP28" s="758"/>
      <c r="HQ28" s="758"/>
      <c r="HR28" s="758"/>
      <c r="HS28" s="758"/>
      <c r="HT28" s="758"/>
      <c r="HU28" s="758"/>
      <c r="HV28" s="758"/>
      <c r="HW28" s="758"/>
      <c r="HX28" s="758"/>
      <c r="HY28" s="758"/>
      <c r="HZ28" s="758"/>
      <c r="IA28" s="758"/>
      <c r="IB28" s="758"/>
      <c r="IC28" s="758"/>
      <c r="ID28" s="758"/>
      <c r="IE28" s="758"/>
      <c r="IF28" s="758"/>
      <c r="IG28" s="758"/>
      <c r="IH28" s="758"/>
      <c r="II28" s="758"/>
      <c r="IJ28" s="758"/>
      <c r="IK28" s="758"/>
      <c r="IL28" s="758"/>
      <c r="IM28" s="758"/>
      <c r="IN28" s="758"/>
      <c r="IO28" s="758"/>
      <c r="IP28" s="758"/>
      <c r="IQ28" s="758"/>
      <c r="IR28" s="758"/>
      <c r="IS28" s="758"/>
      <c r="IT28" s="758"/>
      <c r="IU28" s="758"/>
      <c r="IV28" s="758"/>
      <c r="IW28" s="758"/>
      <c r="IX28" s="758"/>
      <c r="IY28" s="758"/>
      <c r="IZ28" s="758"/>
      <c r="JA28" s="758"/>
      <c r="JB28" s="758"/>
      <c r="JC28" s="758"/>
      <c r="JD28" s="758"/>
      <c r="JE28" s="758"/>
      <c r="JF28" s="758"/>
      <c r="JG28" s="758"/>
      <c r="JH28" s="758"/>
      <c r="JI28" s="758"/>
      <c r="JJ28" s="758"/>
      <c r="JK28" s="758"/>
      <c r="JL28" s="758"/>
      <c r="JM28" s="758"/>
      <c r="JN28" s="758"/>
      <c r="JO28" s="758"/>
      <c r="JP28" s="758"/>
      <c r="JQ28" s="758"/>
      <c r="JR28" s="758"/>
      <c r="JS28" s="758"/>
      <c r="JT28" s="758"/>
      <c r="JU28" s="758"/>
      <c r="JV28" s="758"/>
      <c r="JW28" s="758"/>
      <c r="JX28" s="758"/>
      <c r="JY28" s="758"/>
      <c r="JZ28" s="758"/>
      <c r="KA28" s="758"/>
      <c r="KB28" s="758"/>
      <c r="KC28" s="758"/>
      <c r="KD28" s="758"/>
      <c r="KE28" s="758"/>
      <c r="KF28" s="758"/>
      <c r="KG28" s="758"/>
      <c r="KH28" s="758"/>
      <c r="KI28" s="758"/>
      <c r="KJ28" s="758"/>
      <c r="KK28" s="758"/>
      <c r="KL28" s="758"/>
      <c r="KM28" s="758"/>
      <c r="KN28" s="758"/>
      <c r="KO28" s="758"/>
      <c r="KP28" s="758"/>
      <c r="KQ28" s="758"/>
      <c r="KR28" s="758"/>
      <c r="KS28" s="758"/>
      <c r="KT28" s="758"/>
      <c r="KU28" s="758"/>
      <c r="KV28" s="758"/>
      <c r="KW28" s="758"/>
      <c r="KX28" s="758"/>
      <c r="KY28" s="758"/>
      <c r="KZ28" s="758"/>
      <c r="LA28" s="758"/>
      <c r="LB28" s="758"/>
      <c r="LC28" s="758"/>
      <c r="LD28" s="758"/>
      <c r="LE28" s="758"/>
      <c r="LF28" s="758"/>
      <c r="LG28" s="758"/>
      <c r="LH28" s="758"/>
      <c r="LI28" s="758"/>
      <c r="LJ28" s="758"/>
      <c r="LK28" s="758"/>
      <c r="LL28" s="758"/>
      <c r="LM28" s="758"/>
      <c r="LN28" s="758"/>
      <c r="LO28" s="758"/>
      <c r="LP28" s="758"/>
      <c r="LQ28" s="758"/>
      <c r="LR28" s="758"/>
      <c r="LS28" s="758"/>
      <c r="LT28" s="758"/>
      <c r="LU28" s="758"/>
      <c r="LV28" s="758"/>
      <c r="LW28" s="758"/>
      <c r="LX28" s="758"/>
      <c r="LY28" s="758"/>
      <c r="LZ28" s="758"/>
      <c r="MA28" s="758"/>
      <c r="MB28" s="758"/>
      <c r="MC28" s="758"/>
      <c r="MD28" s="758"/>
      <c r="ME28" s="758"/>
      <c r="MF28" s="758"/>
      <c r="MG28" s="758"/>
      <c r="MH28" s="758"/>
      <c r="MI28" s="758"/>
      <c r="MJ28" s="758"/>
      <c r="MK28" s="758"/>
      <c r="ML28" s="758"/>
      <c r="MM28" s="758"/>
      <c r="MN28" s="758"/>
      <c r="MO28" s="758"/>
      <c r="MP28" s="758"/>
      <c r="MQ28" s="758"/>
      <c r="MR28" s="758"/>
      <c r="MS28" s="758"/>
      <c r="MT28" s="758"/>
      <c r="MU28" s="758"/>
      <c r="MV28" s="758"/>
      <c r="MW28" s="758"/>
      <c r="MX28" s="758"/>
      <c r="MY28" s="758"/>
      <c r="MZ28" s="758"/>
      <c r="NA28" s="758"/>
      <c r="NB28" s="758"/>
      <c r="NC28" s="758"/>
      <c r="ND28" s="758"/>
      <c r="NE28" s="758"/>
    </row>
    <row r="29" spans="1:369" ht="12.75" customHeight="1">
      <c r="A29" s="854" t="s">
        <v>80</v>
      </c>
      <c r="B29" s="780"/>
      <c r="C29" s="510"/>
      <c r="D29" s="833"/>
      <c r="E29" s="780"/>
      <c r="F29" s="753"/>
      <c r="G29" s="804"/>
      <c r="H29" s="780"/>
      <c r="I29" s="829"/>
      <c r="J29" s="1081"/>
      <c r="K29" s="1065" t="s">
        <v>1036</v>
      </c>
      <c r="L29" s="1126" t="s">
        <v>368</v>
      </c>
      <c r="M29" s="1126" t="s">
        <v>31</v>
      </c>
      <c r="N29" s="1126" t="s">
        <v>31</v>
      </c>
      <c r="O29" s="1126" t="s">
        <v>33</v>
      </c>
      <c r="P29" s="1127"/>
      <c r="Q29" s="1063"/>
      <c r="T29" s="1122" t="s">
        <v>1061</v>
      </c>
      <c r="U29" s="1095" t="s">
        <v>1057</v>
      </c>
      <c r="V29" s="1096">
        <v>1</v>
      </c>
      <c r="W29" s="1096">
        <v>1.5</v>
      </c>
      <c r="X29" s="1063"/>
      <c r="Y29" s="1061"/>
      <c r="Z29" s="1061"/>
      <c r="AA29" s="753"/>
      <c r="AB29" s="758"/>
      <c r="AC29" s="758"/>
      <c r="AD29" s="758"/>
      <c r="AE29" s="758"/>
      <c r="AF29" s="758"/>
      <c r="AG29" s="758"/>
      <c r="AH29" s="753"/>
      <c r="AI29" s="1025" t="s">
        <v>1194</v>
      </c>
      <c r="AJ29" s="1026"/>
      <c r="AK29" s="1026"/>
      <c r="AL29" s="1026"/>
      <c r="AM29" s="1027"/>
      <c r="AN29" s="1028">
        <v>2.5</v>
      </c>
      <c r="AO29" s="1029">
        <v>2.5</v>
      </c>
      <c r="AP29" s="758"/>
      <c r="AQ29" s="753"/>
      <c r="AR29" s="753"/>
      <c r="AS29" s="753"/>
      <c r="AT29" s="753"/>
      <c r="AU29" s="753"/>
      <c r="AV29" s="753"/>
      <c r="AW29" s="753"/>
      <c r="AX29" s="753"/>
      <c r="AY29" s="753"/>
      <c r="AZ29" s="753"/>
      <c r="BA29" s="753"/>
      <c r="BB29" s="753"/>
      <c r="BC29" s="753"/>
      <c r="BD29" s="753"/>
      <c r="BE29" s="753"/>
      <c r="BF29" s="753"/>
      <c r="BG29" s="753"/>
      <c r="BH29" s="753"/>
      <c r="BI29" s="753"/>
      <c r="BJ29" s="753"/>
      <c r="BK29" s="753"/>
      <c r="BL29" s="753"/>
      <c r="BM29" s="753"/>
      <c r="BN29" s="753"/>
      <c r="BO29" s="753"/>
      <c r="BP29" s="753"/>
      <c r="BQ29" s="753"/>
      <c r="BR29" s="753"/>
      <c r="BS29" s="753"/>
      <c r="BT29" s="753"/>
      <c r="BU29" s="753"/>
      <c r="BV29" s="753"/>
      <c r="BW29" s="753"/>
      <c r="BX29" s="753"/>
      <c r="BY29" s="753"/>
      <c r="BZ29" s="753"/>
      <c r="CA29" s="753"/>
      <c r="CB29" s="753"/>
      <c r="CC29" s="753"/>
      <c r="CD29" s="753"/>
      <c r="CE29" s="753"/>
      <c r="CF29" s="753"/>
      <c r="CG29" s="753"/>
      <c r="CH29" s="753"/>
      <c r="CI29" s="753"/>
      <c r="CJ29" s="753"/>
      <c r="CK29" s="753"/>
      <c r="CL29" s="753"/>
      <c r="CM29" s="753"/>
      <c r="CN29" s="753"/>
      <c r="CO29" s="753"/>
      <c r="CP29" s="753"/>
      <c r="CQ29" s="753"/>
      <c r="CR29" s="753"/>
      <c r="CS29" s="753"/>
      <c r="CT29" s="753"/>
      <c r="CU29" s="753"/>
      <c r="CV29" s="753"/>
      <c r="CW29" s="753"/>
      <c r="CX29" s="753"/>
      <c r="CY29" s="753"/>
      <c r="CZ29" s="753"/>
      <c r="DA29" s="753"/>
      <c r="DB29" s="753"/>
      <c r="DC29" s="753"/>
      <c r="DD29" s="753"/>
      <c r="DE29" s="753"/>
      <c r="DF29" s="753"/>
      <c r="DG29" s="753"/>
      <c r="DH29" s="753"/>
      <c r="DI29" s="753"/>
      <c r="DJ29" s="753"/>
      <c r="DK29" s="753"/>
      <c r="DL29" s="753"/>
      <c r="DM29" s="767"/>
      <c r="DN29" s="776"/>
      <c r="DO29" s="758"/>
      <c r="DP29" s="758"/>
      <c r="DQ29" s="758"/>
      <c r="DR29" s="753"/>
      <c r="DS29" s="778"/>
      <c r="DT29" s="753"/>
      <c r="DU29" s="758"/>
      <c r="DV29" s="758"/>
      <c r="DW29" s="819"/>
      <c r="DX29" s="758"/>
      <c r="DY29" s="758"/>
      <c r="DZ29" s="758"/>
      <c r="EA29" s="758"/>
      <c r="EB29" s="758"/>
      <c r="EC29" s="758"/>
      <c r="ED29" s="758"/>
      <c r="EE29" s="758"/>
      <c r="EF29" s="758"/>
      <c r="EG29" s="758"/>
      <c r="EH29" s="758"/>
      <c r="EI29" s="758"/>
      <c r="EJ29" s="758"/>
      <c r="EK29" s="758"/>
      <c r="EL29" s="758"/>
      <c r="EM29" s="758"/>
      <c r="EN29" s="758"/>
      <c r="EO29" s="758"/>
      <c r="EP29" s="758"/>
      <c r="EQ29" s="758"/>
      <c r="ER29" s="758"/>
      <c r="ES29" s="758"/>
      <c r="ET29" s="758"/>
      <c r="EU29" s="758"/>
      <c r="EV29" s="758"/>
      <c r="EW29" s="758"/>
      <c r="EX29" s="758"/>
      <c r="EY29" s="758"/>
      <c r="EZ29" s="758"/>
      <c r="FA29" s="758"/>
      <c r="FB29" s="758"/>
      <c r="FC29" s="758"/>
      <c r="FD29" s="758"/>
      <c r="FE29" s="758"/>
      <c r="FF29" s="758"/>
      <c r="FG29" s="758"/>
      <c r="FH29" s="758"/>
      <c r="FI29" s="758"/>
      <c r="FJ29" s="758"/>
      <c r="FK29" s="758"/>
      <c r="FL29" s="758"/>
      <c r="FM29" s="758"/>
      <c r="FN29" s="758"/>
      <c r="FO29" s="758"/>
      <c r="FP29" s="758"/>
      <c r="FQ29" s="758"/>
      <c r="FR29" s="758"/>
      <c r="FS29" s="758"/>
      <c r="FT29" s="758"/>
      <c r="FU29" s="758"/>
      <c r="FV29" s="758"/>
      <c r="FW29" s="758"/>
      <c r="FX29" s="758"/>
      <c r="FY29" s="758"/>
      <c r="FZ29" s="758"/>
      <c r="GA29" s="758"/>
      <c r="GB29" s="758"/>
      <c r="GC29" s="758"/>
      <c r="GD29" s="758"/>
      <c r="GE29" s="758"/>
      <c r="GF29" s="758"/>
      <c r="GG29" s="758"/>
      <c r="GH29" s="758"/>
      <c r="GI29" s="758"/>
      <c r="GJ29" s="758"/>
      <c r="GK29" s="758"/>
      <c r="GL29" s="758"/>
      <c r="GM29" s="758"/>
      <c r="GN29" s="758"/>
      <c r="GO29" s="758"/>
      <c r="GP29" s="758"/>
      <c r="GQ29" s="758"/>
      <c r="GR29" s="758"/>
      <c r="GS29" s="758"/>
      <c r="GT29" s="758"/>
      <c r="GU29" s="758"/>
      <c r="GV29" s="758"/>
      <c r="GW29" s="758"/>
      <c r="GX29" s="758"/>
      <c r="GY29" s="758"/>
      <c r="GZ29" s="758"/>
      <c r="HA29" s="758"/>
      <c r="HB29" s="758"/>
      <c r="HC29" s="758"/>
      <c r="HD29" s="758"/>
      <c r="HE29" s="758"/>
      <c r="HF29" s="758"/>
      <c r="HG29" s="758"/>
      <c r="HH29" s="758"/>
      <c r="HI29" s="758"/>
      <c r="HJ29" s="758"/>
      <c r="HK29" s="758"/>
      <c r="HL29" s="758"/>
      <c r="HM29" s="758"/>
      <c r="HN29" s="758"/>
      <c r="HO29" s="758"/>
      <c r="HP29" s="758"/>
      <c r="HQ29" s="758"/>
      <c r="HR29" s="758"/>
      <c r="HS29" s="758"/>
      <c r="HT29" s="758"/>
      <c r="HU29" s="758"/>
      <c r="HV29" s="758"/>
      <c r="HW29" s="758"/>
      <c r="HX29" s="758"/>
      <c r="HY29" s="758"/>
      <c r="HZ29" s="758"/>
      <c r="IA29" s="758"/>
      <c r="IB29" s="758"/>
      <c r="IC29" s="758"/>
      <c r="ID29" s="758"/>
      <c r="IE29" s="758"/>
      <c r="IF29" s="758"/>
      <c r="IG29" s="758"/>
      <c r="IH29" s="758"/>
      <c r="II29" s="758"/>
      <c r="IJ29" s="758"/>
      <c r="IK29" s="758"/>
      <c r="IL29" s="758"/>
      <c r="IM29" s="758"/>
      <c r="IN29" s="758"/>
      <c r="IO29" s="758"/>
      <c r="IP29" s="758"/>
      <c r="IQ29" s="758"/>
      <c r="IR29" s="758"/>
      <c r="IS29" s="758"/>
      <c r="IT29" s="758"/>
      <c r="IU29" s="758"/>
      <c r="IV29" s="758"/>
      <c r="IW29" s="758"/>
      <c r="IX29" s="758"/>
      <c r="IY29" s="758"/>
      <c r="IZ29" s="758"/>
      <c r="JA29" s="758"/>
      <c r="JB29" s="758"/>
      <c r="JC29" s="758"/>
      <c r="JD29" s="758"/>
      <c r="JE29" s="758"/>
      <c r="JF29" s="758"/>
      <c r="JG29" s="758"/>
      <c r="JH29" s="758"/>
      <c r="JI29" s="758"/>
      <c r="JJ29" s="758"/>
      <c r="JK29" s="758"/>
      <c r="JL29" s="758"/>
      <c r="JM29" s="758"/>
      <c r="JN29" s="758"/>
      <c r="JO29" s="758"/>
      <c r="JP29" s="758"/>
      <c r="JQ29" s="758"/>
      <c r="JR29" s="758"/>
      <c r="JS29" s="758"/>
      <c r="JT29" s="758"/>
      <c r="JU29" s="758"/>
      <c r="JV29" s="758"/>
      <c r="JW29" s="758"/>
      <c r="JX29" s="758"/>
      <c r="JY29" s="758"/>
      <c r="JZ29" s="758"/>
      <c r="KA29" s="758"/>
      <c r="KB29" s="758"/>
      <c r="KC29" s="758"/>
      <c r="KD29" s="758"/>
      <c r="KE29" s="758"/>
      <c r="KF29" s="758"/>
      <c r="KG29" s="758"/>
      <c r="KH29" s="758"/>
      <c r="KI29" s="758"/>
      <c r="KJ29" s="758"/>
      <c r="KK29" s="758"/>
      <c r="KL29" s="758"/>
      <c r="KM29" s="758"/>
      <c r="KN29" s="758"/>
      <c r="KO29" s="758"/>
      <c r="KP29" s="758"/>
      <c r="KQ29" s="758"/>
      <c r="KR29" s="758"/>
      <c r="KS29" s="758"/>
      <c r="KT29" s="758"/>
      <c r="KU29" s="758"/>
      <c r="KV29" s="758"/>
      <c r="KW29" s="758"/>
      <c r="KX29" s="758"/>
      <c r="KY29" s="758"/>
      <c r="KZ29" s="758"/>
      <c r="LA29" s="758"/>
      <c r="LB29" s="758"/>
      <c r="LC29" s="758"/>
      <c r="LD29" s="758"/>
      <c r="LE29" s="758"/>
      <c r="LF29" s="758"/>
      <c r="LG29" s="758"/>
      <c r="LH29" s="758"/>
      <c r="LI29" s="758"/>
      <c r="LJ29" s="758"/>
      <c r="LK29" s="758"/>
      <c r="LL29" s="758"/>
      <c r="LM29" s="758"/>
      <c r="LN29" s="758"/>
      <c r="LO29" s="758"/>
      <c r="LP29" s="758"/>
      <c r="LQ29" s="758"/>
      <c r="LR29" s="758"/>
      <c r="LS29" s="758"/>
      <c r="LT29" s="758"/>
      <c r="LU29" s="758"/>
      <c r="LV29" s="758"/>
      <c r="LW29" s="758"/>
      <c r="LX29" s="758"/>
      <c r="LY29" s="758"/>
      <c r="LZ29" s="758"/>
      <c r="MA29" s="758"/>
      <c r="MB29" s="758"/>
      <c r="MC29" s="758"/>
      <c r="MD29" s="758"/>
      <c r="ME29" s="758"/>
      <c r="MF29" s="758"/>
      <c r="MG29" s="758"/>
      <c r="MH29" s="758"/>
      <c r="MI29" s="758"/>
      <c r="MJ29" s="758"/>
      <c r="MK29" s="758"/>
      <c r="ML29" s="758"/>
      <c r="MM29" s="758"/>
      <c r="MN29" s="758"/>
      <c r="MO29" s="758"/>
      <c r="MP29" s="758"/>
      <c r="MQ29" s="758"/>
      <c r="MR29" s="758"/>
      <c r="MS29" s="758"/>
      <c r="MT29" s="758"/>
      <c r="MU29" s="758"/>
      <c r="MV29" s="758"/>
      <c r="MW29" s="758"/>
      <c r="MX29" s="758"/>
      <c r="MY29" s="758"/>
      <c r="MZ29" s="758"/>
      <c r="NA29" s="758"/>
      <c r="NB29" s="758"/>
      <c r="NC29" s="758"/>
      <c r="ND29" s="758"/>
      <c r="NE29" s="758"/>
    </row>
    <row r="30" spans="1:369" ht="12.75" customHeight="1">
      <c r="A30" s="857"/>
      <c r="B30" s="798" t="s">
        <v>723</v>
      </c>
      <c r="C30" s="107">
        <f>IF($C$26="N.A.","N.A.",2*$C$26/3)</f>
        <v>0.5357354666666666</v>
      </c>
      <c r="D30" s="1057" t="s">
        <v>1171</v>
      </c>
      <c r="E30" s="780"/>
      <c r="F30" s="780"/>
      <c r="G30" s="804"/>
      <c r="H30" s="837"/>
      <c r="I30" s="836"/>
      <c r="K30" s="1065" t="s">
        <v>1039</v>
      </c>
      <c r="L30" s="1126" t="s">
        <v>370</v>
      </c>
      <c r="M30" s="1126" t="s">
        <v>33</v>
      </c>
      <c r="N30" s="1126" t="s">
        <v>33</v>
      </c>
      <c r="O30" s="1126" t="s">
        <v>32</v>
      </c>
      <c r="P30" s="1127"/>
      <c r="Q30" s="1063"/>
      <c r="T30" s="1108" t="s">
        <v>963</v>
      </c>
      <c r="U30" s="1098" t="s">
        <v>1059</v>
      </c>
      <c r="V30" s="1099">
        <v>2.5</v>
      </c>
      <c r="W30" s="1099">
        <v>3.5</v>
      </c>
      <c r="X30" s="1063"/>
      <c r="Y30" s="1087"/>
      <c r="Z30" s="1087"/>
      <c r="AA30" s="758"/>
      <c r="AB30" s="758"/>
      <c r="AC30" s="758"/>
      <c r="AD30" s="758"/>
      <c r="AE30" s="758"/>
      <c r="AF30" s="758"/>
      <c r="AG30" s="758"/>
      <c r="AH30" s="758"/>
      <c r="AI30" s="1025" t="s">
        <v>1195</v>
      </c>
      <c r="AJ30" s="1026"/>
      <c r="AK30" s="1026"/>
      <c r="AL30" s="1026"/>
      <c r="AM30" s="1027"/>
      <c r="AN30" s="1030">
        <v>2.5</v>
      </c>
      <c r="AO30" s="1029">
        <v>2.5</v>
      </c>
      <c r="AP30" s="758"/>
      <c r="AQ30" s="758"/>
      <c r="AR30" s="758"/>
      <c r="AS30" s="758"/>
      <c r="AT30" s="758"/>
      <c r="AU30" s="758"/>
      <c r="AV30" s="758"/>
      <c r="AW30" s="758"/>
      <c r="AX30" s="758"/>
      <c r="AY30" s="758"/>
      <c r="AZ30" s="758"/>
      <c r="BA30" s="758"/>
      <c r="BB30" s="758"/>
      <c r="BC30" s="758"/>
      <c r="BD30" s="758"/>
      <c r="BE30" s="758"/>
      <c r="BF30" s="758"/>
      <c r="BG30" s="758"/>
      <c r="BH30" s="758"/>
      <c r="BI30" s="758"/>
      <c r="BJ30" s="758"/>
      <c r="BK30" s="758"/>
      <c r="BL30" s="758"/>
      <c r="BM30" s="758"/>
      <c r="BN30" s="758"/>
      <c r="BO30" s="758"/>
      <c r="BP30" s="758"/>
      <c r="BQ30" s="758"/>
      <c r="BR30" s="758"/>
      <c r="BS30" s="758"/>
      <c r="BT30" s="758"/>
      <c r="BU30" s="758"/>
      <c r="BV30" s="758"/>
      <c r="BW30" s="758"/>
      <c r="BX30" s="758"/>
      <c r="BY30" s="758"/>
      <c r="BZ30" s="758"/>
      <c r="CA30" s="758"/>
      <c r="CB30" s="758"/>
      <c r="CC30" s="758"/>
      <c r="CD30" s="758"/>
      <c r="CE30" s="758"/>
      <c r="CF30" s="758"/>
      <c r="CG30" s="758"/>
      <c r="CH30" s="758"/>
      <c r="CI30" s="758"/>
      <c r="CJ30" s="758"/>
      <c r="CK30" s="758"/>
      <c r="CL30" s="758"/>
      <c r="CM30" s="758"/>
      <c r="CN30" s="753"/>
      <c r="CO30" s="753"/>
      <c r="CP30" s="753"/>
      <c r="CQ30" s="753"/>
      <c r="CR30" s="753"/>
      <c r="CS30" s="753"/>
      <c r="CT30" s="753"/>
      <c r="CU30" s="753"/>
      <c r="CV30" s="753"/>
      <c r="CW30" s="753"/>
      <c r="CX30" s="753"/>
      <c r="CY30" s="753"/>
      <c r="CZ30" s="753"/>
      <c r="DA30" s="753"/>
      <c r="DB30" s="753"/>
      <c r="DC30" s="753"/>
      <c r="DD30" s="753"/>
      <c r="DE30" s="753"/>
      <c r="DF30" s="753"/>
      <c r="DG30" s="753"/>
      <c r="DH30" s="753"/>
      <c r="DI30" s="753"/>
      <c r="DJ30" s="753"/>
      <c r="DK30" s="753"/>
      <c r="DL30" s="753"/>
      <c r="DM30" s="776"/>
      <c r="DN30" s="776"/>
      <c r="DO30" s="758"/>
      <c r="DP30" s="758"/>
      <c r="DQ30" s="758"/>
      <c r="DR30" s="753"/>
      <c r="DS30" s="778"/>
      <c r="DT30" s="753"/>
      <c r="DU30" s="758"/>
      <c r="DV30" s="758"/>
      <c r="DW30" s="819"/>
      <c r="DX30" s="758"/>
      <c r="DY30" s="758"/>
      <c r="DZ30" s="758"/>
      <c r="EA30" s="758"/>
      <c r="EB30" s="758"/>
      <c r="EC30" s="758"/>
      <c r="ED30" s="758"/>
      <c r="EE30" s="758"/>
      <c r="EF30" s="758"/>
      <c r="EG30" s="758"/>
      <c r="EH30" s="758"/>
      <c r="EI30" s="758"/>
      <c r="EJ30" s="758"/>
      <c r="EK30" s="758"/>
      <c r="EL30" s="758"/>
      <c r="EM30" s="758"/>
      <c r="EN30" s="758"/>
      <c r="EO30" s="758"/>
      <c r="EP30" s="758"/>
      <c r="EQ30" s="758"/>
      <c r="ER30" s="758"/>
      <c r="ES30" s="758"/>
      <c r="ET30" s="758"/>
      <c r="EU30" s="758"/>
      <c r="EV30" s="758"/>
      <c r="EW30" s="758"/>
      <c r="EX30" s="758"/>
      <c r="EY30" s="758"/>
      <c r="EZ30" s="758"/>
      <c r="FA30" s="758"/>
      <c r="FB30" s="758"/>
      <c r="FC30" s="758"/>
      <c r="FD30" s="758"/>
      <c r="FE30" s="758"/>
      <c r="FF30" s="758"/>
      <c r="FG30" s="758"/>
      <c r="FH30" s="758"/>
      <c r="FI30" s="758"/>
      <c r="FJ30" s="758"/>
      <c r="FK30" s="758"/>
      <c r="FL30" s="758"/>
      <c r="FM30" s="758"/>
      <c r="FN30" s="758"/>
      <c r="FO30" s="758"/>
      <c r="FP30" s="758"/>
      <c r="FQ30" s="758"/>
      <c r="FR30" s="758"/>
      <c r="FS30" s="758"/>
      <c r="FT30" s="758"/>
      <c r="FU30" s="758"/>
      <c r="FV30" s="758"/>
      <c r="FW30" s="758"/>
      <c r="FX30" s="758"/>
      <c r="FY30" s="758"/>
      <c r="FZ30" s="758"/>
      <c r="GA30" s="758"/>
      <c r="GB30" s="758"/>
      <c r="GC30" s="758"/>
      <c r="GD30" s="758"/>
      <c r="GE30" s="758"/>
      <c r="GF30" s="758"/>
      <c r="GG30" s="758"/>
      <c r="GH30" s="758"/>
      <c r="GI30" s="758"/>
      <c r="GJ30" s="758"/>
      <c r="GK30" s="758"/>
      <c r="GL30" s="758"/>
      <c r="GM30" s="758"/>
      <c r="GN30" s="758"/>
      <c r="GO30" s="758"/>
      <c r="GP30" s="758"/>
      <c r="GQ30" s="758"/>
      <c r="GR30" s="758"/>
      <c r="GS30" s="758"/>
      <c r="GT30" s="758"/>
      <c r="GU30" s="758"/>
      <c r="GV30" s="758"/>
      <c r="GW30" s="758"/>
      <c r="GX30" s="758"/>
      <c r="GY30" s="758"/>
      <c r="GZ30" s="758"/>
      <c r="HA30" s="758"/>
      <c r="HB30" s="758"/>
      <c r="HC30" s="758"/>
      <c r="HD30" s="758"/>
      <c r="HE30" s="758"/>
      <c r="HF30" s="758"/>
      <c r="HG30" s="758"/>
      <c r="HH30" s="758"/>
      <c r="HI30" s="758"/>
      <c r="HJ30" s="758"/>
      <c r="HK30" s="758"/>
      <c r="HL30" s="758"/>
      <c r="HM30" s="758"/>
      <c r="HN30" s="758"/>
      <c r="HO30" s="758"/>
      <c r="HP30" s="758"/>
      <c r="HQ30" s="758"/>
      <c r="HR30" s="758"/>
      <c r="HS30" s="758"/>
      <c r="HT30" s="758"/>
      <c r="HU30" s="758"/>
      <c r="HV30" s="758"/>
      <c r="HW30" s="758"/>
      <c r="HX30" s="758"/>
      <c r="HY30" s="758"/>
      <c r="HZ30" s="758"/>
      <c r="IA30" s="758"/>
      <c r="IB30" s="758"/>
      <c r="IC30" s="758"/>
      <c r="ID30" s="758"/>
      <c r="IE30" s="758"/>
      <c r="IF30" s="758"/>
      <c r="IG30" s="758"/>
      <c r="IH30" s="758"/>
      <c r="II30" s="758"/>
      <c r="IJ30" s="758"/>
      <c r="IK30" s="758"/>
      <c r="IL30" s="758"/>
      <c r="IM30" s="758"/>
      <c r="IN30" s="758"/>
      <c r="IO30" s="758"/>
      <c r="IP30" s="758"/>
      <c r="IQ30" s="758"/>
      <c r="IR30" s="758"/>
      <c r="IS30" s="758"/>
      <c r="IT30" s="758"/>
      <c r="IU30" s="758"/>
      <c r="IV30" s="758"/>
      <c r="IW30" s="758"/>
      <c r="IX30" s="758"/>
      <c r="IY30" s="758"/>
      <c r="IZ30" s="758"/>
      <c r="JA30" s="758"/>
      <c r="JB30" s="758"/>
      <c r="JC30" s="758"/>
      <c r="JD30" s="758"/>
      <c r="JE30" s="758"/>
      <c r="JF30" s="758"/>
      <c r="JG30" s="758"/>
      <c r="JH30" s="758"/>
      <c r="JI30" s="758"/>
      <c r="JJ30" s="758"/>
      <c r="JK30" s="758"/>
      <c r="JL30" s="758"/>
      <c r="JM30" s="758"/>
      <c r="JN30" s="758"/>
      <c r="JO30" s="758"/>
      <c r="JP30" s="758"/>
      <c r="JQ30" s="758"/>
      <c r="JR30" s="758"/>
      <c r="JS30" s="758"/>
      <c r="JT30" s="758"/>
      <c r="JU30" s="758"/>
      <c r="JV30" s="758"/>
      <c r="JW30" s="758"/>
      <c r="JX30" s="758"/>
      <c r="JY30" s="758"/>
      <c r="JZ30" s="758"/>
      <c r="KA30" s="758"/>
      <c r="KB30" s="758"/>
      <c r="KC30" s="758"/>
      <c r="KD30" s="758"/>
      <c r="KE30" s="758"/>
      <c r="KF30" s="758"/>
      <c r="KG30" s="758"/>
      <c r="KH30" s="758"/>
      <c r="KI30" s="758"/>
      <c r="KJ30" s="758"/>
      <c r="KK30" s="758"/>
      <c r="KL30" s="758"/>
      <c r="KM30" s="758"/>
      <c r="KN30" s="758"/>
      <c r="KO30" s="758"/>
      <c r="KP30" s="758"/>
      <c r="KQ30" s="758"/>
      <c r="KR30" s="758"/>
      <c r="KS30" s="758"/>
      <c r="KT30" s="758"/>
      <c r="KU30" s="758"/>
      <c r="KV30" s="758"/>
      <c r="KW30" s="758"/>
      <c r="KX30" s="758"/>
      <c r="KY30" s="758"/>
      <c r="KZ30" s="758"/>
      <c r="LA30" s="758"/>
      <c r="LB30" s="758"/>
      <c r="LC30" s="758"/>
      <c r="LD30" s="758"/>
      <c r="LE30" s="758"/>
      <c r="LF30" s="758"/>
      <c r="LG30" s="758"/>
      <c r="LH30" s="758"/>
      <c r="LI30" s="758"/>
      <c r="LJ30" s="758"/>
      <c r="LK30" s="758"/>
      <c r="LL30" s="758"/>
      <c r="LM30" s="758"/>
      <c r="LN30" s="758"/>
      <c r="LO30" s="758"/>
      <c r="LP30" s="758"/>
      <c r="LQ30" s="758"/>
      <c r="LR30" s="758"/>
      <c r="LS30" s="758"/>
      <c r="LT30" s="758"/>
      <c r="LU30" s="758"/>
      <c r="LV30" s="758"/>
      <c r="LW30" s="758"/>
      <c r="LX30" s="758"/>
      <c r="LY30" s="758"/>
      <c r="LZ30" s="758"/>
      <c r="MA30" s="758"/>
      <c r="MB30" s="758"/>
      <c r="MC30" s="758"/>
      <c r="MD30" s="758"/>
      <c r="ME30" s="758"/>
      <c r="MF30" s="758"/>
      <c r="MG30" s="758"/>
      <c r="MH30" s="758"/>
      <c r="MI30" s="758"/>
      <c r="MJ30" s="758"/>
      <c r="MK30" s="758"/>
      <c r="ML30" s="758"/>
      <c r="MM30" s="758"/>
      <c r="MN30" s="758"/>
      <c r="MO30" s="758"/>
      <c r="MP30" s="758"/>
      <c r="MQ30" s="758"/>
      <c r="MR30" s="758"/>
      <c r="MS30" s="758"/>
      <c r="MT30" s="758"/>
      <c r="MU30" s="758"/>
      <c r="MV30" s="758"/>
      <c r="MW30" s="758"/>
      <c r="MX30" s="758"/>
      <c r="MY30" s="758"/>
      <c r="MZ30" s="758"/>
      <c r="NA30" s="758"/>
      <c r="NB30" s="758"/>
      <c r="NC30" s="758"/>
      <c r="ND30" s="758"/>
      <c r="NE30" s="758"/>
    </row>
    <row r="31" spans="1:369" ht="12.75" customHeight="1">
      <c r="A31" s="854"/>
      <c r="B31" s="798" t="s">
        <v>725</v>
      </c>
      <c r="C31" s="109">
        <f>IF($C$27="N.A.","N.A.",2*$C$27/3)</f>
        <v>0.34175466666666665</v>
      </c>
      <c r="D31" s="1057" t="s">
        <v>1172</v>
      </c>
      <c r="E31" s="780"/>
      <c r="F31" s="780"/>
      <c r="G31" s="804"/>
      <c r="H31" s="780"/>
      <c r="I31" s="829"/>
      <c r="J31" s="1081"/>
      <c r="K31" s="1065" t="s">
        <v>634</v>
      </c>
      <c r="L31" s="1128" t="s">
        <v>371</v>
      </c>
      <c r="M31" s="1128" t="s">
        <v>32</v>
      </c>
      <c r="N31" s="1128" t="s">
        <v>32</v>
      </c>
      <c r="O31" s="1128" t="s">
        <v>32</v>
      </c>
      <c r="P31" s="1061" t="s">
        <v>147</v>
      </c>
      <c r="Q31" s="1063"/>
      <c r="T31" s="1116" t="s">
        <v>965</v>
      </c>
      <c r="U31" s="1117" t="s">
        <v>1060</v>
      </c>
      <c r="V31" s="1118">
        <v>2.5</v>
      </c>
      <c r="W31" s="1118">
        <v>2.5</v>
      </c>
      <c r="X31" s="1124"/>
      <c r="Y31" s="1061"/>
      <c r="Z31" s="1061"/>
      <c r="AA31" s="753"/>
      <c r="AB31" s="758"/>
      <c r="AC31" s="758"/>
      <c r="AD31" s="758"/>
      <c r="AE31" s="758"/>
      <c r="AF31" s="758"/>
      <c r="AG31" s="758"/>
      <c r="AH31" s="758"/>
      <c r="AI31" s="1001" t="s">
        <v>1196</v>
      </c>
      <c r="AJ31" s="1002"/>
      <c r="AK31" s="1003"/>
      <c r="AL31" s="1003"/>
      <c r="AM31" s="1004"/>
      <c r="AN31" s="1005"/>
      <c r="AO31" s="1006"/>
      <c r="AP31" s="758"/>
      <c r="AQ31" s="758"/>
      <c r="AR31" s="758"/>
      <c r="AS31" s="758"/>
      <c r="AT31" s="758"/>
      <c r="AU31" s="758"/>
      <c r="AV31" s="758"/>
      <c r="AW31" s="758"/>
      <c r="AX31" s="758"/>
      <c r="AY31" s="758"/>
      <c r="AZ31" s="758"/>
      <c r="BA31" s="758"/>
      <c r="BB31" s="758"/>
      <c r="BC31" s="758"/>
      <c r="BD31" s="758"/>
      <c r="BE31" s="758"/>
      <c r="BF31" s="758"/>
      <c r="BG31" s="758"/>
      <c r="BH31" s="758"/>
      <c r="BI31" s="758"/>
      <c r="BJ31" s="758"/>
      <c r="BK31" s="758"/>
      <c r="BL31" s="758"/>
      <c r="BM31" s="758"/>
      <c r="BN31" s="758"/>
      <c r="BO31" s="758"/>
      <c r="BP31" s="758"/>
      <c r="BQ31" s="758"/>
      <c r="BR31" s="758"/>
      <c r="BS31" s="758"/>
      <c r="BT31" s="758"/>
      <c r="BU31" s="758"/>
      <c r="BV31" s="758"/>
      <c r="BW31" s="758"/>
      <c r="BX31" s="758"/>
      <c r="BY31" s="758"/>
      <c r="BZ31" s="758"/>
      <c r="CA31" s="758"/>
      <c r="CB31" s="758"/>
      <c r="CC31" s="758"/>
      <c r="CD31" s="758"/>
      <c r="CE31" s="758"/>
      <c r="CF31" s="758"/>
      <c r="CG31" s="758"/>
      <c r="CH31" s="758"/>
      <c r="CI31" s="758"/>
      <c r="CJ31" s="758"/>
      <c r="CK31" s="758"/>
      <c r="CL31" s="758"/>
      <c r="CM31" s="758"/>
      <c r="CN31" s="753"/>
      <c r="CO31" s="753"/>
      <c r="CP31" s="753"/>
      <c r="CQ31" s="753"/>
      <c r="CR31" s="753"/>
      <c r="CS31" s="753"/>
      <c r="CT31" s="753"/>
      <c r="CU31" s="753"/>
      <c r="CV31" s="753"/>
      <c r="CW31" s="753"/>
      <c r="CX31" s="753"/>
      <c r="CY31" s="753"/>
      <c r="CZ31" s="753"/>
      <c r="DA31" s="753"/>
      <c r="DB31" s="753"/>
      <c r="DC31" s="753"/>
      <c r="DD31" s="753"/>
      <c r="DE31" s="753"/>
      <c r="DF31" s="753"/>
      <c r="DG31" s="753"/>
      <c r="DH31" s="753"/>
      <c r="DI31" s="753"/>
      <c r="DJ31" s="753"/>
      <c r="DK31" s="753"/>
      <c r="DL31" s="753"/>
      <c r="DM31" s="776"/>
      <c r="DN31" s="776"/>
      <c r="DO31" s="758"/>
      <c r="DP31" s="758"/>
      <c r="DQ31" s="758"/>
      <c r="DR31" s="753"/>
      <c r="DS31" s="778"/>
      <c r="DT31" s="753"/>
      <c r="DU31" s="758"/>
      <c r="DV31" s="758"/>
      <c r="DW31" s="819"/>
      <c r="DX31" s="758"/>
      <c r="DY31" s="758"/>
      <c r="DZ31" s="758"/>
      <c r="EA31" s="758"/>
      <c r="EB31" s="758"/>
      <c r="EC31" s="758"/>
      <c r="ED31" s="758"/>
      <c r="EE31" s="758"/>
      <c r="EF31" s="758"/>
      <c r="EG31" s="758"/>
      <c r="EH31" s="758"/>
      <c r="EI31" s="758"/>
      <c r="EJ31" s="758"/>
      <c r="EK31" s="758"/>
      <c r="EL31" s="758"/>
      <c r="EM31" s="758"/>
      <c r="EN31" s="758"/>
      <c r="EO31" s="758"/>
      <c r="EP31" s="758"/>
      <c r="EQ31" s="758"/>
      <c r="ER31" s="758"/>
      <c r="ES31" s="758"/>
      <c r="ET31" s="758"/>
      <c r="EU31" s="758"/>
      <c r="EV31" s="758"/>
      <c r="EW31" s="758"/>
      <c r="EX31" s="758"/>
      <c r="EY31" s="758"/>
      <c r="EZ31" s="758"/>
      <c r="FA31" s="758"/>
      <c r="FB31" s="758"/>
      <c r="FC31" s="758"/>
      <c r="FD31" s="758"/>
      <c r="FE31" s="758"/>
      <c r="FF31" s="758"/>
      <c r="FG31" s="758"/>
      <c r="FH31" s="758"/>
      <c r="FI31" s="758"/>
      <c r="FJ31" s="758"/>
      <c r="FK31" s="758"/>
      <c r="FL31" s="758"/>
      <c r="FM31" s="758"/>
      <c r="FN31" s="758"/>
      <c r="FO31" s="758"/>
      <c r="FP31" s="758"/>
      <c r="FQ31" s="758"/>
      <c r="FR31" s="758"/>
      <c r="FS31" s="758"/>
      <c r="FT31" s="758"/>
      <c r="FU31" s="758"/>
      <c r="FV31" s="758"/>
      <c r="FW31" s="758"/>
      <c r="FX31" s="758"/>
      <c r="FY31" s="758"/>
      <c r="FZ31" s="758"/>
      <c r="GA31" s="758"/>
      <c r="GB31" s="758"/>
      <c r="GC31" s="758"/>
      <c r="GD31" s="758"/>
      <c r="GE31" s="758"/>
      <c r="GF31" s="758"/>
      <c r="GG31" s="758"/>
      <c r="GH31" s="758"/>
      <c r="GI31" s="758"/>
      <c r="GJ31" s="758"/>
      <c r="GK31" s="758"/>
      <c r="GL31" s="758"/>
      <c r="GM31" s="758"/>
      <c r="GN31" s="758"/>
      <c r="GO31" s="758"/>
      <c r="GP31" s="758"/>
      <c r="GQ31" s="758"/>
      <c r="GR31" s="758"/>
      <c r="GS31" s="758"/>
      <c r="GT31" s="758"/>
      <c r="GU31" s="758"/>
      <c r="GV31" s="758"/>
      <c r="GW31" s="758"/>
      <c r="GX31" s="758"/>
      <c r="GY31" s="758"/>
      <c r="GZ31" s="758"/>
      <c r="HA31" s="758"/>
      <c r="HB31" s="758"/>
      <c r="HC31" s="758"/>
      <c r="HD31" s="758"/>
      <c r="HE31" s="758"/>
      <c r="HF31" s="758"/>
      <c r="HG31" s="758"/>
      <c r="HH31" s="758"/>
      <c r="HI31" s="758"/>
      <c r="HJ31" s="758"/>
      <c r="HK31" s="758"/>
      <c r="HL31" s="758"/>
      <c r="HM31" s="758"/>
      <c r="HN31" s="758"/>
      <c r="HO31" s="758"/>
      <c r="HP31" s="758"/>
      <c r="HQ31" s="758"/>
      <c r="HR31" s="758"/>
      <c r="HS31" s="758"/>
      <c r="HT31" s="758"/>
      <c r="HU31" s="758"/>
      <c r="HV31" s="758"/>
      <c r="HW31" s="758"/>
      <c r="HX31" s="758"/>
      <c r="HY31" s="758"/>
      <c r="HZ31" s="758"/>
      <c r="IA31" s="758"/>
      <c r="IB31" s="758"/>
      <c r="IC31" s="758"/>
      <c r="ID31" s="758"/>
      <c r="IE31" s="758"/>
      <c r="IF31" s="758"/>
      <c r="IG31" s="758"/>
      <c r="IH31" s="758"/>
      <c r="II31" s="758"/>
      <c r="IJ31" s="758"/>
      <c r="IK31" s="758"/>
      <c r="IL31" s="758"/>
      <c r="IM31" s="758"/>
      <c r="IN31" s="758"/>
      <c r="IO31" s="758"/>
      <c r="IP31" s="758"/>
      <c r="IQ31" s="758"/>
      <c r="IR31" s="758"/>
      <c r="IS31" s="758"/>
      <c r="IT31" s="758"/>
      <c r="IU31" s="758"/>
      <c r="IV31" s="758"/>
      <c r="IW31" s="758"/>
      <c r="IX31" s="758"/>
      <c r="IY31" s="758"/>
      <c r="IZ31" s="758"/>
      <c r="JA31" s="758"/>
      <c r="JB31" s="758"/>
      <c r="JC31" s="758"/>
      <c r="JD31" s="758"/>
      <c r="JE31" s="758"/>
      <c r="JF31" s="758"/>
      <c r="JG31" s="758"/>
      <c r="JH31" s="758"/>
      <c r="JI31" s="758"/>
      <c r="JJ31" s="758"/>
      <c r="JK31" s="758"/>
      <c r="JL31" s="758"/>
      <c r="JM31" s="758"/>
      <c r="JN31" s="758"/>
      <c r="JO31" s="758"/>
      <c r="JP31" s="758"/>
      <c r="JQ31" s="758"/>
      <c r="JR31" s="758"/>
      <c r="JS31" s="758"/>
      <c r="JT31" s="758"/>
      <c r="JU31" s="758"/>
      <c r="JV31" s="758"/>
      <c r="JW31" s="758"/>
      <c r="JX31" s="758"/>
      <c r="JY31" s="758"/>
      <c r="JZ31" s="758"/>
      <c r="KA31" s="758"/>
      <c r="KB31" s="758"/>
      <c r="KC31" s="758"/>
      <c r="KD31" s="758"/>
      <c r="KE31" s="758"/>
      <c r="KF31" s="758"/>
      <c r="KG31" s="758"/>
      <c r="KH31" s="758"/>
      <c r="KI31" s="758"/>
      <c r="KJ31" s="758"/>
      <c r="KK31" s="758"/>
      <c r="KL31" s="758"/>
      <c r="KM31" s="758"/>
      <c r="KN31" s="758"/>
      <c r="KO31" s="758"/>
      <c r="KP31" s="758"/>
      <c r="KQ31" s="758"/>
      <c r="KR31" s="758"/>
      <c r="KS31" s="758"/>
      <c r="KT31" s="758"/>
      <c r="KU31" s="758"/>
      <c r="KV31" s="758"/>
      <c r="KW31" s="758"/>
      <c r="KX31" s="758"/>
      <c r="KY31" s="758"/>
      <c r="KZ31" s="758"/>
      <c r="LA31" s="758"/>
      <c r="LB31" s="758"/>
      <c r="LC31" s="758"/>
      <c r="LD31" s="758"/>
      <c r="LE31" s="758"/>
      <c r="LF31" s="758"/>
      <c r="LG31" s="758"/>
      <c r="LH31" s="758"/>
      <c r="LI31" s="758"/>
      <c r="LJ31" s="758"/>
      <c r="LK31" s="758"/>
      <c r="LL31" s="758"/>
      <c r="LM31" s="758"/>
      <c r="LN31" s="758"/>
      <c r="LO31" s="758"/>
      <c r="LP31" s="758"/>
      <c r="LQ31" s="758"/>
      <c r="LR31" s="758"/>
      <c r="LS31" s="758"/>
      <c r="LT31" s="758"/>
      <c r="LU31" s="758"/>
      <c r="LV31" s="758"/>
      <c r="LW31" s="758"/>
      <c r="LX31" s="758"/>
      <c r="LY31" s="758"/>
      <c r="LZ31" s="758"/>
      <c r="MA31" s="758"/>
      <c r="MB31" s="758"/>
      <c r="MC31" s="758"/>
      <c r="MD31" s="758"/>
      <c r="ME31" s="758"/>
      <c r="MF31" s="758"/>
      <c r="MG31" s="758"/>
      <c r="MH31" s="758"/>
      <c r="MI31" s="758"/>
      <c r="MJ31" s="758"/>
      <c r="MK31" s="758"/>
      <c r="ML31" s="758"/>
      <c r="MM31" s="758"/>
      <c r="MN31" s="758"/>
      <c r="MO31" s="758"/>
      <c r="MP31" s="758"/>
      <c r="MQ31" s="758"/>
      <c r="MR31" s="758"/>
      <c r="MS31" s="758"/>
      <c r="MT31" s="758"/>
      <c r="MU31" s="758"/>
      <c r="MV31" s="758"/>
      <c r="MW31" s="758"/>
      <c r="MX31" s="758"/>
      <c r="MY31" s="758"/>
      <c r="MZ31" s="758"/>
      <c r="NA31" s="758"/>
      <c r="NB31" s="758"/>
      <c r="NC31" s="758"/>
      <c r="ND31" s="758"/>
      <c r="NE31" s="758"/>
    </row>
    <row r="32" spans="1:369" ht="12.75" customHeight="1">
      <c r="A32" s="857"/>
      <c r="B32" s="780"/>
      <c r="C32" s="89"/>
      <c r="D32" s="833"/>
      <c r="E32" s="839"/>
      <c r="F32" s="780"/>
      <c r="G32" s="839"/>
      <c r="H32" s="773"/>
      <c r="I32" s="836"/>
      <c r="J32" s="1081"/>
      <c r="K32" s="1065" t="s">
        <v>1044</v>
      </c>
      <c r="L32" s="1090" t="s">
        <v>56</v>
      </c>
      <c r="M32" s="1061" t="str">
        <f>IF(OR($M$23="III",$M$23="IV"),"",IF($C$30&lt;0.167,"A",IF(AND($C$30&gt;=0.167,$C$30&lt;0.33),"B",IF(AND($C$30&gt;=0.33,$C$30&lt;0.5),"C",IF(AND($C$30&gt;=0.5,$C$12&lt;0.75),"D",IF((AND($C$30&gt;=0.5,$C$12&gt;=0.75)),"E"))))))</f>
        <v/>
      </c>
      <c r="N32" s="1090" t="str">
        <f>IF(OR($M$23="I",$M$23="II",$M$23="IV"),"",IF($C$30&lt;0.167,"A",IF(AND($C$30&gt;=0.167,$C$30&lt;0.33),"B",IF(AND($C$30&gt;=0.33,$C$30&lt;0.5),"C",IF(AND($C$30&gt;=0.5,$C$12&lt;0.75),"D",IF((AND($C$30&gt;=0.5,$C$12&gt;=0.75)),"E"))))))</f>
        <v>D</v>
      </c>
      <c r="O32" s="1090" t="str">
        <f>IF(OR($M$23="I",$M$23="II",$M$23="III"),"",IF($C$30&lt;0.167,"A",IF(AND($C$30&gt;=0.167,$C$30&lt;0.33),"C",IF(AND($C$30&gt;=0.33,$C$30&lt;0.5),"D",IF(AND($C$30&gt;=0.5,$C$12&lt;0.75),"D",IF((AND($C$30&gt;=0.5,$C$12&gt;=0.75)),"F"))))))</f>
        <v/>
      </c>
      <c r="P32" s="1090">
        <f>IF($C$34="A",1,IF($C$34="B",2,IF($C$34="C",3,IF($C$34="D",4,IF($C$34="E",5,IF($C$34="F",6))))))</f>
        <v>4</v>
      </c>
      <c r="Q32" s="1063"/>
      <c r="T32" s="1122" t="s">
        <v>967</v>
      </c>
      <c r="U32" s="1095" t="s">
        <v>1062</v>
      </c>
      <c r="V32" s="1096">
        <v>2.5</v>
      </c>
      <c r="W32" s="1096">
        <v>1.5</v>
      </c>
      <c r="X32" s="1111"/>
      <c r="Y32" s="1061"/>
      <c r="Z32" s="1061"/>
      <c r="AA32" s="758"/>
      <c r="AB32" s="758"/>
      <c r="AC32" s="758"/>
      <c r="AD32" s="758"/>
      <c r="AE32" s="758"/>
      <c r="AF32" s="758"/>
      <c r="AG32" s="758"/>
      <c r="AH32" s="758"/>
      <c r="AI32" s="1007"/>
      <c r="AJ32" s="1008" t="s">
        <v>1063</v>
      </c>
      <c r="AK32" s="1009"/>
      <c r="AL32" s="1009"/>
      <c r="AM32" s="1010"/>
      <c r="AN32" s="1011">
        <v>1</v>
      </c>
      <c r="AO32" s="1019">
        <v>3.5</v>
      </c>
      <c r="AP32" s="758"/>
      <c r="AQ32" s="758"/>
      <c r="AR32" s="758"/>
      <c r="AS32" s="758"/>
      <c r="AT32" s="758"/>
      <c r="AU32" s="758"/>
      <c r="AV32" s="758"/>
      <c r="AW32" s="758"/>
      <c r="AX32" s="758"/>
      <c r="AY32" s="758"/>
      <c r="AZ32" s="758"/>
      <c r="BA32" s="758"/>
      <c r="BB32" s="758"/>
      <c r="BC32" s="758"/>
      <c r="BD32" s="758"/>
      <c r="BE32" s="758"/>
      <c r="BF32" s="758"/>
      <c r="BG32" s="758"/>
      <c r="BH32" s="758"/>
      <c r="BI32" s="758"/>
      <c r="BJ32" s="758"/>
      <c r="BK32" s="758"/>
      <c r="BL32" s="758"/>
      <c r="BM32" s="758"/>
      <c r="BN32" s="758"/>
      <c r="BO32" s="758"/>
      <c r="BP32" s="758"/>
      <c r="BQ32" s="758"/>
      <c r="BR32" s="758"/>
      <c r="BS32" s="758"/>
      <c r="BT32" s="758"/>
      <c r="BU32" s="758"/>
      <c r="BV32" s="758"/>
      <c r="BW32" s="758"/>
      <c r="BX32" s="758"/>
      <c r="BY32" s="758"/>
      <c r="BZ32" s="758"/>
      <c r="CA32" s="758"/>
      <c r="CB32" s="758"/>
      <c r="CC32" s="758"/>
      <c r="CD32" s="758"/>
      <c r="CE32" s="758"/>
      <c r="CF32" s="758"/>
      <c r="CG32" s="758"/>
      <c r="CH32" s="758"/>
      <c r="CI32" s="758"/>
      <c r="CJ32" s="758"/>
      <c r="CK32" s="758"/>
      <c r="CL32" s="758"/>
      <c r="CM32" s="758"/>
      <c r="CN32" s="753"/>
      <c r="CO32" s="753"/>
      <c r="CP32" s="753"/>
      <c r="CQ32" s="753"/>
      <c r="CR32" s="753"/>
      <c r="CS32" s="753"/>
      <c r="CT32" s="753"/>
      <c r="CU32" s="753"/>
      <c r="CV32" s="753"/>
      <c r="CW32" s="753"/>
      <c r="CX32" s="753"/>
      <c r="CY32" s="753"/>
      <c r="CZ32" s="753"/>
      <c r="DA32" s="753"/>
      <c r="DB32" s="753"/>
      <c r="DC32" s="753"/>
      <c r="DD32" s="753"/>
      <c r="DE32" s="753"/>
      <c r="DF32" s="753"/>
      <c r="DG32" s="753"/>
      <c r="DH32" s="753"/>
      <c r="DI32" s="753"/>
      <c r="DJ32" s="753"/>
      <c r="DK32" s="753"/>
      <c r="DL32" s="753"/>
      <c r="DM32" s="776"/>
      <c r="DN32" s="776"/>
      <c r="DO32" s="758"/>
      <c r="DP32" s="758"/>
      <c r="DQ32" s="758"/>
      <c r="DR32" s="753"/>
      <c r="DS32" s="919"/>
      <c r="DT32" s="775"/>
      <c r="DU32" s="758"/>
      <c r="DV32" s="758"/>
      <c r="DW32" s="758"/>
      <c r="DX32" s="758"/>
      <c r="DY32" s="758"/>
      <c r="DZ32" s="758"/>
      <c r="EA32" s="758"/>
      <c r="EB32" s="758"/>
      <c r="EC32" s="758"/>
      <c r="ED32" s="758"/>
      <c r="EE32" s="758"/>
      <c r="EF32" s="758"/>
      <c r="EG32" s="758"/>
      <c r="EH32" s="758"/>
      <c r="EI32" s="758"/>
      <c r="EJ32" s="758"/>
      <c r="EK32" s="758"/>
      <c r="EL32" s="758"/>
      <c r="EM32" s="758"/>
      <c r="EN32" s="758"/>
      <c r="EO32" s="758"/>
      <c r="EP32" s="758"/>
      <c r="EQ32" s="758"/>
      <c r="ER32" s="758"/>
      <c r="ES32" s="758"/>
      <c r="ET32" s="758"/>
      <c r="EU32" s="758"/>
      <c r="EV32" s="758"/>
      <c r="EW32" s="758"/>
      <c r="EX32" s="758"/>
      <c r="EY32" s="758"/>
      <c r="EZ32" s="758"/>
      <c r="FA32" s="758"/>
      <c r="FB32" s="758"/>
      <c r="FC32" s="758"/>
      <c r="FD32" s="758"/>
      <c r="FE32" s="758"/>
      <c r="FF32" s="758"/>
      <c r="FG32" s="758"/>
      <c r="FH32" s="758"/>
      <c r="FI32" s="758"/>
      <c r="FJ32" s="758"/>
      <c r="FK32" s="758"/>
      <c r="FL32" s="758"/>
      <c r="FM32" s="758"/>
      <c r="FN32" s="758"/>
      <c r="FO32" s="758"/>
      <c r="FP32" s="758"/>
      <c r="FQ32" s="758"/>
      <c r="FR32" s="758"/>
      <c r="FS32" s="758"/>
      <c r="FT32" s="758"/>
      <c r="FU32" s="758"/>
      <c r="FV32" s="758"/>
      <c r="FW32" s="758"/>
      <c r="FX32" s="758"/>
      <c r="FY32" s="758"/>
      <c r="FZ32" s="758"/>
      <c r="GA32" s="758"/>
      <c r="GB32" s="758"/>
      <c r="GC32" s="758"/>
      <c r="GD32" s="758"/>
      <c r="GE32" s="758"/>
      <c r="GF32" s="758"/>
      <c r="GG32" s="758"/>
      <c r="GH32" s="758"/>
      <c r="GI32" s="758"/>
      <c r="GJ32" s="758"/>
      <c r="GK32" s="758"/>
      <c r="GL32" s="758"/>
      <c r="GM32" s="758"/>
      <c r="GN32" s="758"/>
      <c r="GO32" s="758"/>
      <c r="GP32" s="758"/>
      <c r="GQ32" s="758"/>
      <c r="GR32" s="758"/>
      <c r="GS32" s="758"/>
      <c r="GT32" s="758"/>
      <c r="GU32" s="758"/>
      <c r="GV32" s="758"/>
      <c r="GW32" s="758"/>
      <c r="GX32" s="758"/>
      <c r="GY32" s="758"/>
      <c r="GZ32" s="758"/>
      <c r="HA32" s="758"/>
      <c r="HB32" s="758"/>
      <c r="HC32" s="758"/>
      <c r="HD32" s="758"/>
      <c r="HE32" s="758"/>
      <c r="HF32" s="758"/>
      <c r="HG32" s="758"/>
      <c r="HH32" s="758"/>
      <c r="HI32" s="758"/>
      <c r="HJ32" s="758"/>
      <c r="HK32" s="758"/>
      <c r="HL32" s="758"/>
      <c r="HM32" s="758"/>
      <c r="HN32" s="758"/>
      <c r="HO32" s="758"/>
      <c r="HP32" s="758"/>
      <c r="HQ32" s="758"/>
      <c r="HR32" s="758"/>
      <c r="HS32" s="758"/>
      <c r="HT32" s="758"/>
      <c r="HU32" s="758"/>
      <c r="HV32" s="758"/>
      <c r="HW32" s="758"/>
      <c r="HX32" s="758"/>
      <c r="HY32" s="758"/>
      <c r="HZ32" s="758"/>
      <c r="IA32" s="758"/>
      <c r="IB32" s="758"/>
      <c r="IC32" s="758"/>
      <c r="ID32" s="758"/>
      <c r="IE32" s="758"/>
      <c r="IF32" s="758"/>
      <c r="IG32" s="758"/>
      <c r="IH32" s="758"/>
      <c r="II32" s="758"/>
      <c r="IJ32" s="758"/>
      <c r="IK32" s="758"/>
      <c r="IL32" s="758"/>
      <c r="IM32" s="758"/>
      <c r="IN32" s="758"/>
      <c r="IO32" s="758"/>
      <c r="IP32" s="758"/>
      <c r="IQ32" s="758"/>
      <c r="IR32" s="758"/>
      <c r="IS32" s="758"/>
      <c r="IT32" s="758"/>
      <c r="IU32" s="758"/>
      <c r="IV32" s="758"/>
      <c r="IW32" s="758"/>
      <c r="IX32" s="758"/>
      <c r="IY32" s="758"/>
      <c r="IZ32" s="758"/>
      <c r="JA32" s="758"/>
      <c r="JB32" s="758"/>
      <c r="JC32" s="758"/>
      <c r="JD32" s="758"/>
      <c r="JE32" s="758"/>
      <c r="JF32" s="758"/>
      <c r="JG32" s="758"/>
      <c r="JH32" s="758"/>
      <c r="JI32" s="758"/>
      <c r="JJ32" s="758"/>
      <c r="JK32" s="758"/>
      <c r="JL32" s="758"/>
      <c r="JM32" s="758"/>
      <c r="JN32" s="758"/>
      <c r="JO32" s="758"/>
      <c r="JP32" s="758"/>
      <c r="JQ32" s="758"/>
      <c r="JR32" s="758"/>
      <c r="JS32" s="758"/>
      <c r="JT32" s="758"/>
      <c r="JU32" s="758"/>
      <c r="JV32" s="758"/>
      <c r="JW32" s="758"/>
      <c r="JX32" s="758"/>
      <c r="JY32" s="758"/>
      <c r="JZ32" s="758"/>
      <c r="KA32" s="758"/>
      <c r="KB32" s="758"/>
      <c r="KC32" s="758"/>
      <c r="KD32" s="758"/>
      <c r="KE32" s="758"/>
      <c r="KF32" s="758"/>
      <c r="KG32" s="758"/>
      <c r="KH32" s="758"/>
      <c r="KI32" s="758"/>
      <c r="KJ32" s="758"/>
      <c r="KK32" s="758"/>
      <c r="KL32" s="758"/>
      <c r="KM32" s="758"/>
      <c r="KN32" s="758"/>
      <c r="KO32" s="758"/>
      <c r="KP32" s="758"/>
      <c r="KQ32" s="758"/>
      <c r="KR32" s="758"/>
      <c r="KS32" s="758"/>
      <c r="KT32" s="758"/>
      <c r="KU32" s="758"/>
      <c r="KV32" s="758"/>
      <c r="KW32" s="758"/>
      <c r="KX32" s="758"/>
      <c r="KY32" s="758"/>
      <c r="KZ32" s="758"/>
      <c r="LA32" s="758"/>
      <c r="LB32" s="758"/>
      <c r="LC32" s="758"/>
      <c r="LD32" s="758"/>
      <c r="LE32" s="758"/>
      <c r="LF32" s="758"/>
      <c r="LG32" s="758"/>
      <c r="LH32" s="758"/>
      <c r="LI32" s="758"/>
      <c r="LJ32" s="758"/>
      <c r="LK32" s="758"/>
      <c r="LL32" s="758"/>
      <c r="LM32" s="758"/>
      <c r="LN32" s="758"/>
      <c r="LO32" s="758"/>
      <c r="LP32" s="758"/>
      <c r="LQ32" s="758"/>
      <c r="LR32" s="758"/>
      <c r="LS32" s="758"/>
      <c r="LT32" s="758"/>
      <c r="LU32" s="758"/>
      <c r="LV32" s="758"/>
      <c r="LW32" s="758"/>
      <c r="LX32" s="758"/>
      <c r="LY32" s="758"/>
      <c r="LZ32" s="758"/>
      <c r="MA32" s="758"/>
      <c r="MB32" s="758"/>
      <c r="MC32" s="758"/>
      <c r="MD32" s="758"/>
      <c r="ME32" s="758"/>
      <c r="MF32" s="758"/>
      <c r="MG32" s="758"/>
      <c r="MH32" s="758"/>
      <c r="MI32" s="758"/>
      <c r="MJ32" s="758"/>
      <c r="MK32" s="758"/>
      <c r="ML32" s="758"/>
      <c r="MM32" s="758"/>
      <c r="MN32" s="758"/>
      <c r="MO32" s="758"/>
      <c r="MP32" s="758"/>
      <c r="MQ32" s="758"/>
      <c r="MR32" s="758"/>
      <c r="MS32" s="758"/>
      <c r="MT32" s="758"/>
      <c r="MU32" s="758"/>
      <c r="MV32" s="758"/>
      <c r="MW32" s="758"/>
      <c r="MX32" s="758"/>
      <c r="MY32" s="758"/>
      <c r="MZ32" s="758"/>
      <c r="NA32" s="758"/>
      <c r="NB32" s="758"/>
      <c r="NC32" s="758"/>
      <c r="ND32" s="758"/>
      <c r="NE32" s="758"/>
    </row>
    <row r="33" spans="1:369" ht="12.75" customHeight="1">
      <c r="A33" s="854" t="s">
        <v>58</v>
      </c>
      <c r="B33" s="780"/>
      <c r="C33" s="510"/>
      <c r="D33" s="833"/>
      <c r="E33" s="798"/>
      <c r="F33" s="780"/>
      <c r="G33" s="804"/>
      <c r="H33" s="773"/>
      <c r="I33" s="836"/>
      <c r="J33" s="1081"/>
      <c r="K33" s="1065" t="s">
        <v>1185</v>
      </c>
      <c r="N33" s="1090"/>
      <c r="O33" s="1039"/>
      <c r="P33" s="1127"/>
      <c r="Q33" s="1063"/>
      <c r="T33" s="1101" t="s">
        <v>977</v>
      </c>
      <c r="U33" s="1102" t="s">
        <v>1190</v>
      </c>
      <c r="V33" s="1103">
        <v>1</v>
      </c>
      <c r="W33" s="1103">
        <v>2.5</v>
      </c>
      <c r="X33" s="1063"/>
      <c r="AA33" s="758"/>
      <c r="AB33" s="758"/>
      <c r="AC33" s="758"/>
      <c r="AD33" s="758"/>
      <c r="AE33" s="758"/>
      <c r="AF33" s="758"/>
      <c r="AG33" s="758"/>
      <c r="AH33" s="758"/>
      <c r="AI33" s="1007"/>
      <c r="AJ33" s="1008" t="s">
        <v>1064</v>
      </c>
      <c r="AK33" s="1009"/>
      <c r="AL33" s="1009"/>
      <c r="AM33" s="1010"/>
      <c r="AN33" s="1020">
        <v>1</v>
      </c>
      <c r="AO33" s="1021">
        <v>2.5</v>
      </c>
      <c r="AP33" s="758"/>
      <c r="AQ33" s="758"/>
      <c r="AR33" s="758"/>
      <c r="AS33" s="758"/>
      <c r="AT33" s="758"/>
      <c r="AU33" s="758"/>
      <c r="AV33" s="758"/>
      <c r="AW33" s="758"/>
      <c r="AX33" s="758"/>
      <c r="AY33" s="758"/>
      <c r="AZ33" s="758"/>
      <c r="BA33" s="758"/>
      <c r="BB33" s="758"/>
      <c r="BC33" s="758"/>
      <c r="BD33" s="758"/>
      <c r="BE33" s="758"/>
      <c r="BF33" s="758"/>
      <c r="BG33" s="758"/>
      <c r="BH33" s="758"/>
      <c r="BI33" s="758"/>
      <c r="BJ33" s="758"/>
      <c r="BK33" s="758"/>
      <c r="BL33" s="758"/>
      <c r="BM33" s="758"/>
      <c r="BN33" s="758"/>
      <c r="BO33" s="758"/>
      <c r="BP33" s="758"/>
      <c r="BQ33" s="758"/>
      <c r="BR33" s="758"/>
      <c r="BS33" s="758"/>
      <c r="BT33" s="758"/>
      <c r="BU33" s="758"/>
      <c r="BV33" s="758"/>
      <c r="BW33" s="758"/>
      <c r="BX33" s="758"/>
      <c r="BY33" s="758"/>
      <c r="BZ33" s="758"/>
      <c r="CA33" s="758"/>
      <c r="CB33" s="758"/>
      <c r="CC33" s="758"/>
      <c r="CD33" s="758"/>
      <c r="CE33" s="758"/>
      <c r="CF33" s="758"/>
      <c r="CG33" s="758"/>
      <c r="CH33" s="758"/>
      <c r="CI33" s="758"/>
      <c r="CJ33" s="758"/>
      <c r="CK33" s="758"/>
      <c r="CL33" s="758"/>
      <c r="CM33" s="758"/>
      <c r="CN33" s="753"/>
      <c r="CO33" s="753"/>
      <c r="CP33" s="753"/>
      <c r="CQ33" s="753"/>
      <c r="CR33" s="753"/>
      <c r="CS33" s="753"/>
      <c r="CT33" s="753"/>
      <c r="CU33" s="753"/>
      <c r="CV33" s="753"/>
      <c r="CW33" s="753"/>
      <c r="CX33" s="753"/>
      <c r="CY33" s="753"/>
      <c r="CZ33" s="753"/>
      <c r="DA33" s="753"/>
      <c r="DB33" s="753"/>
      <c r="DC33" s="753"/>
      <c r="DD33" s="753"/>
      <c r="DE33" s="753"/>
      <c r="DF33" s="753"/>
      <c r="DG33" s="753"/>
      <c r="DH33" s="753"/>
      <c r="DI33" s="753"/>
      <c r="DJ33" s="753"/>
      <c r="DK33" s="753"/>
      <c r="DL33" s="753"/>
      <c r="DM33" s="776"/>
      <c r="DN33" s="776"/>
      <c r="DO33" s="758"/>
      <c r="DP33" s="758"/>
      <c r="DQ33" s="758"/>
      <c r="DR33" s="753"/>
      <c r="DS33" s="919"/>
      <c r="DT33" s="775"/>
      <c r="DU33" s="758"/>
      <c r="DV33" s="758"/>
      <c r="DW33" s="758"/>
      <c r="DX33" s="758"/>
      <c r="DY33" s="758"/>
      <c r="DZ33" s="758"/>
      <c r="EA33" s="758"/>
      <c r="EB33" s="758"/>
      <c r="EC33" s="758"/>
      <c r="ED33" s="758"/>
      <c r="EE33" s="758"/>
      <c r="EF33" s="758"/>
      <c r="EG33" s="758"/>
      <c r="EH33" s="758"/>
      <c r="EI33" s="758"/>
      <c r="EJ33" s="758"/>
      <c r="EK33" s="758"/>
      <c r="EL33" s="758"/>
      <c r="EM33" s="758"/>
      <c r="EN33" s="758"/>
      <c r="EO33" s="758"/>
      <c r="EP33" s="758"/>
      <c r="EQ33" s="758"/>
      <c r="ER33" s="758"/>
      <c r="ES33" s="758"/>
      <c r="ET33" s="758"/>
      <c r="EU33" s="758"/>
      <c r="EV33" s="758"/>
      <c r="EW33" s="758"/>
      <c r="EX33" s="758"/>
      <c r="EY33" s="758"/>
      <c r="EZ33" s="758"/>
      <c r="FA33" s="758"/>
      <c r="FB33" s="758"/>
      <c r="FC33" s="758"/>
      <c r="FD33" s="758"/>
      <c r="FE33" s="758"/>
      <c r="FF33" s="758"/>
      <c r="FG33" s="758"/>
      <c r="FH33" s="758"/>
      <c r="FI33" s="758"/>
      <c r="FJ33" s="758"/>
      <c r="FK33" s="758"/>
      <c r="FL33" s="758"/>
      <c r="FM33" s="758"/>
      <c r="FN33" s="758"/>
      <c r="FO33" s="758"/>
      <c r="FP33" s="758"/>
      <c r="FQ33" s="758"/>
      <c r="FR33" s="758"/>
      <c r="FS33" s="758"/>
      <c r="FT33" s="758"/>
      <c r="FU33" s="758"/>
      <c r="FV33" s="758"/>
      <c r="FW33" s="758"/>
      <c r="FX33" s="758"/>
      <c r="FY33" s="758"/>
      <c r="FZ33" s="758"/>
      <c r="GA33" s="758"/>
      <c r="GB33" s="758"/>
      <c r="GC33" s="758"/>
      <c r="GD33" s="758"/>
      <c r="GE33" s="758"/>
      <c r="GF33" s="758"/>
      <c r="GG33" s="758"/>
      <c r="GH33" s="758"/>
      <c r="GI33" s="758"/>
      <c r="GJ33" s="758"/>
      <c r="GK33" s="758"/>
      <c r="GL33" s="758"/>
      <c r="GM33" s="758"/>
      <c r="GN33" s="758"/>
      <c r="GO33" s="758"/>
      <c r="GP33" s="758"/>
      <c r="GQ33" s="758"/>
      <c r="GR33" s="758"/>
      <c r="GS33" s="758"/>
      <c r="GT33" s="758"/>
      <c r="GU33" s="758"/>
      <c r="GV33" s="758"/>
      <c r="GW33" s="758"/>
      <c r="GX33" s="758"/>
      <c r="GY33" s="758"/>
      <c r="GZ33" s="758"/>
      <c r="HA33" s="758"/>
      <c r="HB33" s="758"/>
      <c r="HC33" s="758"/>
      <c r="HD33" s="758"/>
      <c r="HE33" s="758"/>
      <c r="HF33" s="758"/>
      <c r="HG33" s="758"/>
      <c r="HH33" s="758"/>
      <c r="HI33" s="758"/>
      <c r="HJ33" s="758"/>
      <c r="HK33" s="758"/>
      <c r="HL33" s="758"/>
      <c r="HM33" s="758"/>
      <c r="HN33" s="758"/>
      <c r="HO33" s="758"/>
      <c r="HP33" s="758"/>
      <c r="HQ33" s="758"/>
      <c r="HR33" s="758"/>
      <c r="HS33" s="758"/>
      <c r="HT33" s="758"/>
      <c r="HU33" s="758"/>
      <c r="HV33" s="758"/>
      <c r="HW33" s="758"/>
      <c r="HX33" s="758"/>
      <c r="HY33" s="758"/>
      <c r="HZ33" s="758"/>
      <c r="IA33" s="758"/>
      <c r="IB33" s="758"/>
      <c r="IC33" s="758"/>
      <c r="ID33" s="758"/>
      <c r="IE33" s="758"/>
      <c r="IF33" s="758"/>
      <c r="IG33" s="758"/>
      <c r="IH33" s="758"/>
      <c r="II33" s="758"/>
      <c r="IJ33" s="758"/>
      <c r="IK33" s="758"/>
      <c r="IL33" s="758"/>
      <c r="IM33" s="758"/>
      <c r="IN33" s="758"/>
      <c r="IO33" s="758"/>
      <c r="IP33" s="758"/>
      <c r="IQ33" s="758"/>
      <c r="IR33" s="758"/>
      <c r="IS33" s="758"/>
      <c r="IT33" s="758"/>
      <c r="IU33" s="758"/>
      <c r="IV33" s="758"/>
      <c r="IW33" s="758"/>
      <c r="IX33" s="758"/>
      <c r="IY33" s="758"/>
      <c r="IZ33" s="758"/>
      <c r="JA33" s="758"/>
      <c r="JB33" s="758"/>
      <c r="JC33" s="758"/>
      <c r="JD33" s="758"/>
      <c r="JE33" s="758"/>
      <c r="JF33" s="758"/>
      <c r="JG33" s="758"/>
      <c r="JH33" s="758"/>
      <c r="JI33" s="758"/>
      <c r="JJ33" s="758"/>
      <c r="JK33" s="758"/>
      <c r="JL33" s="758"/>
      <c r="JM33" s="758"/>
      <c r="JN33" s="758"/>
      <c r="JO33" s="758"/>
      <c r="JP33" s="758"/>
      <c r="JQ33" s="758"/>
      <c r="JR33" s="758"/>
      <c r="JS33" s="758"/>
      <c r="JT33" s="758"/>
      <c r="JU33" s="758"/>
      <c r="JV33" s="758"/>
      <c r="JW33" s="758"/>
      <c r="JX33" s="758"/>
      <c r="JY33" s="758"/>
      <c r="JZ33" s="758"/>
      <c r="KA33" s="758"/>
      <c r="KB33" s="758"/>
      <c r="KC33" s="758"/>
      <c r="KD33" s="758"/>
      <c r="KE33" s="758"/>
      <c r="KF33" s="758"/>
      <c r="KG33" s="758"/>
      <c r="KH33" s="758"/>
      <c r="KI33" s="758"/>
      <c r="KJ33" s="758"/>
      <c r="KK33" s="758"/>
      <c r="KL33" s="758"/>
      <c r="KM33" s="758"/>
      <c r="KN33" s="758"/>
      <c r="KO33" s="758"/>
      <c r="KP33" s="758"/>
      <c r="KQ33" s="758"/>
      <c r="KR33" s="758"/>
      <c r="KS33" s="758"/>
      <c r="KT33" s="758"/>
      <c r="KU33" s="758"/>
      <c r="KV33" s="758"/>
      <c r="KW33" s="758"/>
      <c r="KX33" s="758"/>
      <c r="KY33" s="758"/>
      <c r="KZ33" s="758"/>
      <c r="LA33" s="758"/>
      <c r="LB33" s="758"/>
      <c r="LC33" s="758"/>
      <c r="LD33" s="758"/>
      <c r="LE33" s="758"/>
      <c r="LF33" s="758"/>
      <c r="LG33" s="758"/>
      <c r="LH33" s="758"/>
      <c r="LI33" s="758"/>
      <c r="LJ33" s="758"/>
      <c r="LK33" s="758"/>
      <c r="LL33" s="758"/>
      <c r="LM33" s="758"/>
      <c r="LN33" s="758"/>
      <c r="LO33" s="758"/>
      <c r="LP33" s="758"/>
      <c r="LQ33" s="758"/>
      <c r="LR33" s="758"/>
      <c r="LS33" s="758"/>
      <c r="LT33" s="758"/>
      <c r="LU33" s="758"/>
      <c r="LV33" s="758"/>
      <c r="LW33" s="758"/>
      <c r="LX33" s="758"/>
      <c r="LY33" s="758"/>
      <c r="LZ33" s="758"/>
      <c r="MA33" s="758"/>
      <c r="MB33" s="758"/>
      <c r="MC33" s="758"/>
      <c r="MD33" s="758"/>
      <c r="ME33" s="758"/>
      <c r="MF33" s="758"/>
      <c r="MG33" s="758"/>
      <c r="MH33" s="758"/>
      <c r="MI33" s="758"/>
      <c r="MJ33" s="758"/>
      <c r="MK33" s="758"/>
      <c r="ML33" s="758"/>
      <c r="MM33" s="758"/>
      <c r="MN33" s="758"/>
      <c r="MO33" s="758"/>
      <c r="MP33" s="758"/>
      <c r="MQ33" s="758"/>
      <c r="MR33" s="758"/>
      <c r="MS33" s="758"/>
      <c r="MT33" s="758"/>
      <c r="MU33" s="758"/>
      <c r="MV33" s="758"/>
      <c r="MW33" s="758"/>
      <c r="MX33" s="758"/>
      <c r="MY33" s="758"/>
      <c r="MZ33" s="758"/>
      <c r="NA33" s="758"/>
      <c r="NB33" s="758"/>
      <c r="NC33" s="758"/>
      <c r="ND33" s="758"/>
      <c r="NE33" s="758"/>
    </row>
    <row r="34" spans="1:369" ht="12.75" customHeight="1">
      <c r="A34" s="857"/>
      <c r="B34" s="798" t="s">
        <v>729</v>
      </c>
      <c r="C34" s="116" t="str">
        <f>IF($C$30="N.A.","N.A.",IF(OR($M$23="I",$M$23="II"),$M$32,IF($M$23="III",$N$32,IF($M$23="IV",$O$32))))</f>
        <v>D</v>
      </c>
      <c r="D34" s="1057" t="s">
        <v>1173</v>
      </c>
      <c r="E34" s="798"/>
      <c r="F34" s="764"/>
      <c r="G34" s="780"/>
      <c r="H34" s="840"/>
      <c r="I34" s="829"/>
      <c r="J34" s="1081"/>
      <c r="K34" s="1065" t="s">
        <v>1046</v>
      </c>
      <c r="L34" s="1066" t="s">
        <v>1184</v>
      </c>
      <c r="M34" s="1112"/>
      <c r="N34" s="1113"/>
      <c r="O34" s="1114"/>
      <c r="P34" s="1130"/>
      <c r="Q34" s="1130"/>
      <c r="T34" s="1110"/>
      <c r="U34" s="1110"/>
      <c r="V34" s="1129"/>
      <c r="W34" s="1129"/>
      <c r="X34" s="1063"/>
      <c r="Y34" s="1088"/>
      <c r="Z34" s="1088"/>
      <c r="AA34" s="758"/>
      <c r="AB34" s="913" t="s">
        <v>380</v>
      </c>
      <c r="AC34" s="753"/>
      <c r="AD34" s="753"/>
      <c r="AE34" s="753"/>
      <c r="AF34" s="753"/>
      <c r="AG34" s="758"/>
      <c r="AH34" s="758"/>
      <c r="AI34" s="1013"/>
      <c r="AJ34" s="1014" t="s">
        <v>1065</v>
      </c>
      <c r="AK34" s="1015"/>
      <c r="AL34" s="1015"/>
      <c r="AM34" s="1016"/>
      <c r="AN34" s="1017">
        <v>1</v>
      </c>
      <c r="AO34" s="1023">
        <v>1.5</v>
      </c>
      <c r="AP34" s="758"/>
      <c r="AQ34" s="758"/>
      <c r="AR34" s="758"/>
      <c r="AS34" s="758"/>
      <c r="AT34" s="758"/>
      <c r="AU34" s="758"/>
      <c r="AV34" s="758"/>
      <c r="AW34" s="758"/>
      <c r="AX34" s="758"/>
      <c r="AY34" s="758"/>
      <c r="AZ34" s="758"/>
      <c r="BA34" s="758"/>
      <c r="BB34" s="758"/>
      <c r="BC34" s="758"/>
      <c r="BD34" s="758"/>
      <c r="BE34" s="758"/>
      <c r="BF34" s="758"/>
      <c r="BG34" s="758"/>
      <c r="BH34" s="758"/>
      <c r="BI34" s="758"/>
      <c r="BJ34" s="758"/>
      <c r="BK34" s="758"/>
      <c r="BL34" s="758"/>
      <c r="BM34" s="758"/>
      <c r="BN34" s="758"/>
      <c r="BO34" s="758"/>
      <c r="BP34" s="758"/>
      <c r="BQ34" s="758"/>
      <c r="BR34" s="758"/>
      <c r="BS34" s="758"/>
      <c r="BT34" s="758"/>
      <c r="BU34" s="758"/>
      <c r="BV34" s="758"/>
      <c r="BW34" s="758"/>
      <c r="BX34" s="758"/>
      <c r="BY34" s="758"/>
      <c r="BZ34" s="758"/>
      <c r="CA34" s="758"/>
      <c r="CB34" s="758"/>
      <c r="CC34" s="758"/>
      <c r="CD34" s="758"/>
      <c r="CE34" s="758"/>
      <c r="CF34" s="758"/>
      <c r="CG34" s="758"/>
      <c r="CH34" s="758"/>
      <c r="CI34" s="758"/>
      <c r="CJ34" s="758"/>
      <c r="CK34" s="758"/>
      <c r="CL34" s="758"/>
      <c r="CM34" s="758"/>
      <c r="CN34" s="753"/>
      <c r="CO34" s="753"/>
      <c r="CP34" s="753"/>
      <c r="CQ34" s="753"/>
      <c r="CR34" s="753"/>
      <c r="CS34" s="753"/>
      <c r="CT34" s="753"/>
      <c r="CU34" s="753"/>
      <c r="CV34" s="753"/>
      <c r="CW34" s="753"/>
      <c r="CX34" s="753"/>
      <c r="CY34" s="753"/>
      <c r="CZ34" s="753"/>
      <c r="DA34" s="753"/>
      <c r="DB34" s="753"/>
      <c r="DC34" s="753"/>
      <c r="DD34" s="753"/>
      <c r="DE34" s="753"/>
      <c r="DF34" s="753"/>
      <c r="DG34" s="753"/>
      <c r="DH34" s="753"/>
      <c r="DI34" s="753"/>
      <c r="DJ34" s="753"/>
      <c r="DK34" s="753"/>
      <c r="DL34" s="753"/>
      <c r="DM34" s="776"/>
      <c r="DN34" s="776"/>
      <c r="DO34" s="758"/>
      <c r="DP34" s="758"/>
      <c r="DQ34" s="758"/>
      <c r="DR34" s="758"/>
      <c r="DS34" s="758"/>
      <c r="DT34" s="758"/>
      <c r="DU34" s="758"/>
      <c r="DV34" s="758"/>
      <c r="DW34" s="758"/>
      <c r="DX34" s="758"/>
      <c r="DY34" s="758"/>
      <c r="DZ34" s="758"/>
      <c r="EA34" s="758"/>
      <c r="EB34" s="758"/>
      <c r="EC34" s="758"/>
      <c r="ED34" s="758"/>
      <c r="EE34" s="758"/>
      <c r="EF34" s="758"/>
      <c r="EG34" s="758"/>
      <c r="EH34" s="758"/>
      <c r="EI34" s="758"/>
      <c r="EJ34" s="758"/>
      <c r="EK34" s="758"/>
      <c r="EL34" s="758"/>
      <c r="EM34" s="758"/>
      <c r="EN34" s="758"/>
      <c r="EO34" s="758"/>
      <c r="EP34" s="758"/>
      <c r="EQ34" s="758"/>
      <c r="ER34" s="758"/>
      <c r="ES34" s="758"/>
      <c r="ET34" s="758"/>
      <c r="EU34" s="758"/>
      <c r="EV34" s="758"/>
      <c r="EW34" s="758"/>
      <c r="EX34" s="758"/>
      <c r="EY34" s="758"/>
      <c r="EZ34" s="758"/>
      <c r="FA34" s="758"/>
      <c r="FB34" s="758"/>
      <c r="FC34" s="758"/>
      <c r="FD34" s="758"/>
      <c r="FE34" s="758"/>
      <c r="FF34" s="758"/>
      <c r="FG34" s="758"/>
      <c r="FH34" s="758"/>
      <c r="FI34" s="758"/>
      <c r="FJ34" s="758"/>
      <c r="FK34" s="758"/>
      <c r="FL34" s="758"/>
      <c r="FM34" s="758"/>
      <c r="FN34" s="758"/>
      <c r="FO34" s="758"/>
      <c r="FP34" s="758"/>
      <c r="FQ34" s="758"/>
      <c r="FR34" s="758"/>
      <c r="FS34" s="758"/>
      <c r="FT34" s="758"/>
      <c r="FU34" s="758"/>
      <c r="FV34" s="758"/>
      <c r="FW34" s="758"/>
      <c r="FX34" s="758"/>
      <c r="FY34" s="758"/>
      <c r="FZ34" s="758"/>
      <c r="GA34" s="758"/>
      <c r="GB34" s="758"/>
      <c r="GC34" s="758"/>
      <c r="GD34" s="758"/>
      <c r="GE34" s="758"/>
      <c r="GF34" s="758"/>
      <c r="GG34" s="758"/>
      <c r="GH34" s="758"/>
      <c r="GI34" s="758"/>
      <c r="GJ34" s="758"/>
      <c r="GK34" s="758"/>
      <c r="GL34" s="758"/>
      <c r="GM34" s="758"/>
      <c r="GN34" s="758"/>
      <c r="GO34" s="758"/>
      <c r="GP34" s="758"/>
      <c r="GQ34" s="758"/>
      <c r="GR34" s="758"/>
      <c r="GS34" s="758"/>
      <c r="GT34" s="758"/>
      <c r="GU34" s="758"/>
      <c r="GV34" s="758"/>
      <c r="GW34" s="758"/>
      <c r="GX34" s="758"/>
      <c r="GY34" s="758"/>
      <c r="GZ34" s="758"/>
      <c r="HA34" s="758"/>
      <c r="HB34" s="758"/>
      <c r="HC34" s="758"/>
      <c r="HD34" s="758"/>
      <c r="HE34" s="758"/>
      <c r="HF34" s="758"/>
      <c r="HG34" s="758"/>
      <c r="HH34" s="758"/>
      <c r="HI34" s="758"/>
      <c r="HJ34" s="758"/>
      <c r="HK34" s="758"/>
      <c r="HL34" s="758"/>
      <c r="HM34" s="758"/>
      <c r="HN34" s="758"/>
      <c r="HO34" s="758"/>
      <c r="HP34" s="758"/>
      <c r="HQ34" s="758"/>
      <c r="HR34" s="758"/>
      <c r="HS34" s="758"/>
      <c r="HT34" s="758"/>
      <c r="HU34" s="758"/>
      <c r="HV34" s="758"/>
      <c r="HW34" s="758"/>
      <c r="HX34" s="758"/>
      <c r="HY34" s="758"/>
      <c r="HZ34" s="758"/>
      <c r="IA34" s="758"/>
      <c r="IB34" s="758"/>
      <c r="IC34" s="758"/>
      <c r="ID34" s="758"/>
      <c r="IE34" s="758"/>
      <c r="IF34" s="758"/>
      <c r="IG34" s="758"/>
      <c r="IH34" s="758"/>
      <c r="II34" s="758"/>
      <c r="IJ34" s="758"/>
      <c r="IK34" s="758"/>
      <c r="IL34" s="758"/>
      <c r="IM34" s="758"/>
      <c r="IN34" s="758"/>
      <c r="IO34" s="758"/>
      <c r="IP34" s="758"/>
      <c r="IQ34" s="758"/>
      <c r="IR34" s="758"/>
      <c r="IS34" s="758"/>
      <c r="IT34" s="758"/>
      <c r="IU34" s="758"/>
      <c r="IV34" s="758"/>
      <c r="IW34" s="758"/>
      <c r="IX34" s="758"/>
      <c r="IY34" s="758"/>
      <c r="IZ34" s="758"/>
      <c r="JA34" s="758"/>
      <c r="JB34" s="758"/>
      <c r="JC34" s="758"/>
      <c r="JD34" s="758"/>
      <c r="JE34" s="758"/>
      <c r="JF34" s="758"/>
      <c r="JG34" s="758"/>
      <c r="JH34" s="758"/>
      <c r="JI34" s="758"/>
      <c r="JJ34" s="758"/>
      <c r="JK34" s="758"/>
      <c r="JL34" s="758"/>
      <c r="JM34" s="758"/>
      <c r="JN34" s="758"/>
      <c r="JO34" s="758"/>
      <c r="JP34" s="758"/>
      <c r="JQ34" s="758"/>
      <c r="JR34" s="758"/>
      <c r="JS34" s="758"/>
      <c r="JT34" s="758"/>
      <c r="JU34" s="758"/>
      <c r="JV34" s="758"/>
      <c r="JW34" s="758"/>
      <c r="JX34" s="758"/>
      <c r="JY34" s="758"/>
      <c r="JZ34" s="758"/>
      <c r="KA34" s="758"/>
      <c r="KB34" s="758"/>
      <c r="KC34" s="758"/>
      <c r="KD34" s="758"/>
      <c r="KE34" s="758"/>
      <c r="KF34" s="758"/>
      <c r="KG34" s="758"/>
      <c r="KH34" s="758"/>
      <c r="KI34" s="758"/>
      <c r="KJ34" s="758"/>
      <c r="KK34" s="758"/>
      <c r="KL34" s="758"/>
      <c r="KM34" s="758"/>
      <c r="KN34" s="758"/>
      <c r="KO34" s="758"/>
      <c r="KP34" s="758"/>
      <c r="KQ34" s="758"/>
      <c r="KR34" s="758"/>
      <c r="KS34" s="758"/>
      <c r="KT34" s="758"/>
      <c r="KU34" s="758"/>
      <c r="KV34" s="758"/>
      <c r="KW34" s="758"/>
      <c r="KX34" s="758"/>
      <c r="KY34" s="758"/>
      <c r="KZ34" s="758"/>
      <c r="LA34" s="758"/>
      <c r="LB34" s="758"/>
      <c r="LC34" s="758"/>
      <c r="LD34" s="758"/>
      <c r="LE34" s="758"/>
      <c r="LF34" s="758"/>
      <c r="LG34" s="758"/>
      <c r="LH34" s="758"/>
      <c r="LI34" s="758"/>
      <c r="LJ34" s="758"/>
      <c r="LK34" s="758"/>
      <c r="LL34" s="758"/>
      <c r="LM34" s="758"/>
      <c r="LN34" s="758"/>
      <c r="LO34" s="758"/>
      <c r="LP34" s="758"/>
      <c r="LQ34" s="758"/>
      <c r="LR34" s="758"/>
      <c r="LS34" s="758"/>
      <c r="LT34" s="758"/>
      <c r="LU34" s="758"/>
      <c r="LV34" s="758"/>
      <c r="LW34" s="758"/>
      <c r="LX34" s="758"/>
      <c r="LY34" s="758"/>
      <c r="LZ34" s="758"/>
      <c r="MA34" s="758"/>
      <c r="MB34" s="758"/>
      <c r="MC34" s="758"/>
      <c r="MD34" s="758"/>
      <c r="ME34" s="758"/>
      <c r="MF34" s="758"/>
      <c r="MG34" s="758"/>
      <c r="MH34" s="758"/>
      <c r="MI34" s="758"/>
      <c r="MJ34" s="758"/>
      <c r="MK34" s="758"/>
      <c r="ML34" s="758"/>
      <c r="MM34" s="758"/>
      <c r="MN34" s="758"/>
      <c r="MO34" s="758"/>
      <c r="MP34" s="758"/>
      <c r="MQ34" s="758"/>
      <c r="MR34" s="758"/>
      <c r="MS34" s="758"/>
      <c r="MT34" s="758"/>
      <c r="MU34" s="758"/>
      <c r="MV34" s="758"/>
      <c r="MW34" s="758"/>
      <c r="MX34" s="758"/>
      <c r="MY34" s="758"/>
      <c r="MZ34" s="758"/>
      <c r="NA34" s="758"/>
      <c r="NB34" s="758"/>
      <c r="NC34" s="758"/>
      <c r="ND34" s="758"/>
      <c r="NE34" s="758"/>
    </row>
    <row r="35" spans="1:369" ht="12.75" customHeight="1">
      <c r="A35" s="854"/>
      <c r="B35" s="798" t="s">
        <v>731</v>
      </c>
      <c r="C35" s="118" t="str">
        <f>IF($C$31="N.A.","N.A.",IF(OR($M$23="I",$M$23="II"),$M$41,IF($M$23="III",$N$41,IF($M$23="IV",$O$41))))</f>
        <v>D</v>
      </c>
      <c r="D35" s="1057" t="s">
        <v>1174</v>
      </c>
      <c r="E35" s="798"/>
      <c r="F35" s="780"/>
      <c r="G35" s="804"/>
      <c r="H35" s="840"/>
      <c r="I35" s="829"/>
      <c r="J35" s="1063"/>
      <c r="K35" s="1065" t="s">
        <v>955</v>
      </c>
      <c r="L35" s="1115"/>
      <c r="M35" s="1112" t="s">
        <v>159</v>
      </c>
      <c r="N35" s="1112"/>
      <c r="O35" s="1114"/>
      <c r="T35" s="1081"/>
      <c r="U35" s="1063"/>
      <c r="V35" s="1076"/>
      <c r="W35" s="1076"/>
      <c r="X35" s="1063"/>
      <c r="Y35" s="1088"/>
      <c r="Z35" s="1088"/>
      <c r="AA35" s="758"/>
      <c r="AB35" s="767"/>
      <c r="AC35" s="768"/>
      <c r="AD35" s="753"/>
      <c r="AE35" s="753"/>
      <c r="AF35" s="753"/>
      <c r="AG35" s="758"/>
      <c r="AH35" s="758"/>
      <c r="AI35" s="1001" t="s">
        <v>1197</v>
      </c>
      <c r="AJ35" s="1002"/>
      <c r="AK35" s="1003"/>
      <c r="AL35" s="1003"/>
      <c r="AM35" s="1004"/>
      <c r="AN35" s="1005"/>
      <c r="AO35" s="1006"/>
      <c r="AP35" s="758"/>
      <c r="AQ35" s="758"/>
      <c r="AR35" s="758"/>
      <c r="AS35" s="758"/>
      <c r="AT35" s="758"/>
      <c r="AU35" s="758"/>
      <c r="AV35" s="758"/>
      <c r="AW35" s="758"/>
      <c r="AX35" s="758"/>
      <c r="AY35" s="758"/>
      <c r="AZ35" s="758"/>
      <c r="BA35" s="758"/>
      <c r="BB35" s="758"/>
      <c r="BC35" s="758"/>
      <c r="BD35" s="758"/>
      <c r="BE35" s="758"/>
      <c r="BF35" s="758"/>
      <c r="BG35" s="758"/>
      <c r="BH35" s="758"/>
      <c r="BI35" s="758"/>
      <c r="BJ35" s="758"/>
      <c r="BK35" s="758"/>
      <c r="BL35" s="758"/>
      <c r="BM35" s="758"/>
      <c r="BN35" s="758"/>
      <c r="BO35" s="758"/>
      <c r="BP35" s="758"/>
      <c r="BQ35" s="758"/>
      <c r="BR35" s="758"/>
      <c r="BS35" s="758"/>
      <c r="BT35" s="758"/>
      <c r="BU35" s="758"/>
      <c r="BV35" s="758"/>
      <c r="BW35" s="758"/>
      <c r="BX35" s="758"/>
      <c r="BY35" s="758"/>
      <c r="BZ35" s="758"/>
      <c r="CA35" s="758"/>
      <c r="CB35" s="758"/>
      <c r="CC35" s="758"/>
      <c r="CD35" s="758"/>
      <c r="CE35" s="758"/>
      <c r="CF35" s="758"/>
      <c r="CG35" s="758"/>
      <c r="CH35" s="758"/>
      <c r="CI35" s="758"/>
      <c r="CJ35" s="758"/>
      <c r="CK35" s="758"/>
      <c r="CL35" s="758"/>
      <c r="CM35" s="758"/>
      <c r="CN35" s="753"/>
      <c r="CO35" s="753"/>
      <c r="CP35" s="753"/>
      <c r="CQ35" s="753"/>
      <c r="CR35" s="753"/>
      <c r="CS35" s="753"/>
      <c r="CT35" s="753"/>
      <c r="CU35" s="753"/>
      <c r="CV35" s="753"/>
      <c r="CW35" s="753"/>
      <c r="CX35" s="753"/>
      <c r="CY35" s="753"/>
      <c r="CZ35" s="753"/>
      <c r="DA35" s="753"/>
      <c r="DB35" s="753"/>
      <c r="DC35" s="753"/>
      <c r="DD35" s="753"/>
      <c r="DE35" s="753"/>
      <c r="DF35" s="753"/>
      <c r="DG35" s="753"/>
      <c r="DH35" s="753"/>
      <c r="DI35" s="753"/>
      <c r="DJ35" s="753"/>
      <c r="DK35" s="753"/>
      <c r="DL35" s="753"/>
      <c r="DM35" s="776"/>
      <c r="DN35" s="776"/>
      <c r="DO35" s="758"/>
      <c r="DP35" s="758"/>
      <c r="DQ35" s="758"/>
      <c r="DR35" s="758"/>
      <c r="DS35" s="758"/>
      <c r="DT35" s="758"/>
      <c r="DU35" s="758"/>
      <c r="DV35" s="758"/>
      <c r="DW35" s="819"/>
      <c r="DX35" s="758"/>
      <c r="DY35" s="758"/>
      <c r="DZ35" s="758"/>
      <c r="EA35" s="758"/>
      <c r="EB35" s="758"/>
      <c r="EC35" s="758"/>
      <c r="ED35" s="758"/>
      <c r="EE35" s="758"/>
      <c r="EF35" s="758"/>
      <c r="EG35" s="758"/>
      <c r="EH35" s="758"/>
      <c r="EI35" s="758"/>
      <c r="EJ35" s="758"/>
      <c r="EK35" s="758"/>
      <c r="EL35" s="758"/>
      <c r="EM35" s="758"/>
      <c r="EN35" s="758"/>
      <c r="EO35" s="758"/>
      <c r="EP35" s="758"/>
      <c r="EQ35" s="758"/>
      <c r="ER35" s="758"/>
      <c r="ES35" s="758"/>
      <c r="ET35" s="758"/>
      <c r="EU35" s="758"/>
      <c r="EV35" s="758"/>
      <c r="EW35" s="758"/>
      <c r="EX35" s="758"/>
      <c r="EY35" s="758"/>
      <c r="EZ35" s="758"/>
      <c r="FA35" s="758"/>
      <c r="FB35" s="758"/>
      <c r="FC35" s="758"/>
      <c r="FD35" s="758"/>
      <c r="FE35" s="758"/>
      <c r="FF35" s="758"/>
      <c r="FG35" s="758"/>
      <c r="FH35" s="758"/>
      <c r="FI35" s="758"/>
      <c r="FJ35" s="758"/>
      <c r="FK35" s="758"/>
      <c r="FL35" s="758"/>
      <c r="FM35" s="758"/>
      <c r="FN35" s="758"/>
      <c r="FO35" s="758"/>
      <c r="FP35" s="758"/>
      <c r="FQ35" s="758"/>
      <c r="FR35" s="758"/>
      <c r="FS35" s="758"/>
      <c r="FT35" s="758"/>
      <c r="FU35" s="758"/>
      <c r="FV35" s="758"/>
      <c r="FW35" s="758"/>
      <c r="FX35" s="758"/>
      <c r="FY35" s="758"/>
      <c r="FZ35" s="758"/>
      <c r="GA35" s="758"/>
      <c r="GB35" s="758"/>
      <c r="GC35" s="758"/>
      <c r="GD35" s="758"/>
      <c r="GE35" s="758"/>
      <c r="GF35" s="758"/>
      <c r="GG35" s="758"/>
      <c r="GH35" s="758"/>
      <c r="GI35" s="758"/>
      <c r="GJ35" s="758"/>
      <c r="GK35" s="758"/>
      <c r="GL35" s="758"/>
      <c r="GM35" s="758"/>
      <c r="GN35" s="758"/>
      <c r="GO35" s="758"/>
      <c r="GP35" s="758"/>
      <c r="GQ35" s="758"/>
      <c r="GR35" s="758"/>
      <c r="GS35" s="758"/>
      <c r="GT35" s="758"/>
      <c r="GU35" s="758"/>
      <c r="GV35" s="758"/>
      <c r="GW35" s="758"/>
      <c r="GX35" s="758"/>
      <c r="GY35" s="758"/>
      <c r="GZ35" s="758"/>
      <c r="HA35" s="758"/>
      <c r="HB35" s="758"/>
      <c r="HC35" s="758"/>
      <c r="HD35" s="758"/>
      <c r="HE35" s="758"/>
      <c r="HF35" s="758"/>
      <c r="HG35" s="758"/>
      <c r="HH35" s="758"/>
      <c r="HI35" s="758"/>
      <c r="HJ35" s="758"/>
      <c r="HK35" s="758"/>
      <c r="HL35" s="758"/>
      <c r="HM35" s="758"/>
      <c r="HN35" s="758"/>
      <c r="HO35" s="758"/>
      <c r="HP35" s="758"/>
      <c r="HQ35" s="758"/>
      <c r="HR35" s="758"/>
      <c r="HS35" s="758"/>
      <c r="HT35" s="758"/>
      <c r="HU35" s="758"/>
      <c r="HV35" s="758"/>
      <c r="HW35" s="758"/>
      <c r="HX35" s="758"/>
      <c r="HY35" s="758"/>
      <c r="HZ35" s="758"/>
      <c r="IA35" s="758"/>
      <c r="IB35" s="758"/>
      <c r="IC35" s="758"/>
      <c r="ID35" s="758"/>
      <c r="IE35" s="758"/>
      <c r="IF35" s="758"/>
      <c r="IG35" s="758"/>
      <c r="IH35" s="758"/>
      <c r="II35" s="758"/>
      <c r="IJ35" s="758"/>
      <c r="IK35" s="758"/>
      <c r="IL35" s="758"/>
      <c r="IM35" s="758"/>
      <c r="IN35" s="758"/>
      <c r="IO35" s="758"/>
      <c r="IP35" s="758"/>
      <c r="IQ35" s="758"/>
      <c r="IR35" s="758"/>
      <c r="IS35" s="758"/>
      <c r="IT35" s="758"/>
      <c r="IU35" s="758"/>
      <c r="IV35" s="758"/>
      <c r="IW35" s="758"/>
      <c r="IX35" s="758"/>
      <c r="IY35" s="758"/>
      <c r="IZ35" s="758"/>
      <c r="JA35" s="758"/>
      <c r="JB35" s="758"/>
      <c r="JC35" s="758"/>
      <c r="JD35" s="758"/>
      <c r="JE35" s="758"/>
      <c r="JF35" s="758"/>
      <c r="JG35" s="758"/>
      <c r="JH35" s="758"/>
      <c r="JI35" s="758"/>
      <c r="JJ35" s="758"/>
      <c r="JK35" s="758"/>
      <c r="JL35" s="758"/>
      <c r="JM35" s="758"/>
      <c r="JN35" s="758"/>
      <c r="JO35" s="758"/>
      <c r="JP35" s="758"/>
      <c r="JQ35" s="758"/>
      <c r="JR35" s="758"/>
      <c r="JS35" s="758"/>
      <c r="JT35" s="758"/>
      <c r="JU35" s="758"/>
      <c r="JV35" s="758"/>
      <c r="JW35" s="758"/>
      <c r="JX35" s="758"/>
      <c r="JY35" s="758"/>
      <c r="JZ35" s="758"/>
      <c r="KA35" s="758"/>
      <c r="KB35" s="758"/>
      <c r="KC35" s="758"/>
      <c r="KD35" s="758"/>
      <c r="KE35" s="758"/>
      <c r="KF35" s="758"/>
      <c r="KG35" s="758"/>
      <c r="KH35" s="758"/>
      <c r="KI35" s="758"/>
      <c r="KJ35" s="758"/>
      <c r="KK35" s="758"/>
      <c r="KL35" s="758"/>
      <c r="KM35" s="758"/>
      <c r="KN35" s="758"/>
      <c r="KO35" s="758"/>
      <c r="KP35" s="758"/>
      <c r="KQ35" s="758"/>
      <c r="KR35" s="758"/>
      <c r="KS35" s="758"/>
      <c r="KT35" s="758"/>
      <c r="KU35" s="758"/>
      <c r="KV35" s="758"/>
      <c r="KW35" s="758"/>
      <c r="KX35" s="758"/>
      <c r="KY35" s="758"/>
      <c r="KZ35" s="758"/>
      <c r="LA35" s="758"/>
      <c r="LB35" s="758"/>
      <c r="LC35" s="758"/>
      <c r="LD35" s="758"/>
      <c r="LE35" s="758"/>
      <c r="LF35" s="758"/>
      <c r="LG35" s="758"/>
      <c r="LH35" s="758"/>
      <c r="LI35" s="758"/>
      <c r="LJ35" s="758"/>
      <c r="LK35" s="758"/>
      <c r="LL35" s="758"/>
      <c r="LM35" s="758"/>
      <c r="LN35" s="758"/>
      <c r="LO35" s="758"/>
      <c r="LP35" s="758"/>
      <c r="LQ35" s="758"/>
      <c r="LR35" s="758"/>
      <c r="LS35" s="758"/>
      <c r="LT35" s="758"/>
      <c r="LU35" s="758"/>
      <c r="LV35" s="758"/>
      <c r="LW35" s="758"/>
      <c r="LX35" s="758"/>
      <c r="LY35" s="758"/>
      <c r="LZ35" s="758"/>
      <c r="MA35" s="758"/>
      <c r="MB35" s="758"/>
      <c r="MC35" s="758"/>
      <c r="MD35" s="758"/>
      <c r="ME35" s="758"/>
      <c r="MF35" s="758"/>
      <c r="MG35" s="758"/>
      <c r="MH35" s="758"/>
      <c r="MI35" s="758"/>
      <c r="MJ35" s="758"/>
      <c r="MK35" s="758"/>
      <c r="ML35" s="758"/>
      <c r="MM35" s="758"/>
      <c r="MN35" s="758"/>
      <c r="MO35" s="758"/>
      <c r="MP35" s="758"/>
      <c r="MQ35" s="758"/>
      <c r="MR35" s="758"/>
      <c r="MS35" s="758"/>
      <c r="MT35" s="758"/>
      <c r="MU35" s="758"/>
      <c r="MV35" s="758"/>
      <c r="MW35" s="758"/>
      <c r="MX35" s="758"/>
      <c r="MY35" s="758"/>
      <c r="MZ35" s="758"/>
      <c r="NA35" s="758"/>
      <c r="NB35" s="758"/>
      <c r="NC35" s="758"/>
      <c r="ND35" s="758"/>
      <c r="NE35" s="758"/>
    </row>
    <row r="36" spans="1:369" ht="12.75" customHeight="1">
      <c r="A36" s="857"/>
      <c r="B36" s="798" t="s">
        <v>85</v>
      </c>
      <c r="C36" s="124" t="str">
        <f>IF(OR($C$34="N.A.",$C$35="N.A."),"N.A.",$P$43)</f>
        <v>D</v>
      </c>
      <c r="D36" s="780" t="s">
        <v>86</v>
      </c>
      <c r="E36" s="780"/>
      <c r="F36" s="764"/>
      <c r="G36" s="804"/>
      <c r="H36" s="773"/>
      <c r="I36" s="836"/>
      <c r="K36" s="1065" t="s">
        <v>1189</v>
      </c>
      <c r="L36" s="1119" t="s">
        <v>50</v>
      </c>
      <c r="M36" s="1120" t="s">
        <v>158</v>
      </c>
      <c r="N36" s="1121" t="s">
        <v>27</v>
      </c>
      <c r="O36" s="1121" t="s">
        <v>34</v>
      </c>
      <c r="P36" s="1130"/>
      <c r="Q36" s="1130"/>
      <c r="U36" s="1110"/>
      <c r="V36" s="1129"/>
      <c r="W36" s="1129"/>
      <c r="X36" s="1063"/>
      <c r="Y36" s="1088"/>
      <c r="Z36" s="1088"/>
      <c r="AA36" s="758"/>
      <c r="AB36" s="914"/>
      <c r="AC36" s="768"/>
      <c r="AD36" s="753"/>
      <c r="AE36" s="753"/>
      <c r="AF36" s="753"/>
      <c r="AG36" s="758"/>
      <c r="AH36" s="758"/>
      <c r="AI36" s="1007"/>
      <c r="AJ36" s="1008" t="s">
        <v>1063</v>
      </c>
      <c r="AK36" s="1009"/>
      <c r="AL36" s="1009"/>
      <c r="AM36" s="1010"/>
      <c r="AN36" s="1011">
        <v>2.5</v>
      </c>
      <c r="AO36" s="1019">
        <v>3.5</v>
      </c>
      <c r="AP36" s="758"/>
      <c r="AQ36" s="758"/>
      <c r="AR36" s="758"/>
      <c r="AS36" s="758"/>
      <c r="AT36" s="758"/>
      <c r="AU36" s="758"/>
      <c r="AV36" s="758"/>
      <c r="AW36" s="758"/>
      <c r="AX36" s="758"/>
      <c r="AY36" s="758"/>
      <c r="AZ36" s="758"/>
      <c r="BA36" s="758"/>
      <c r="BB36" s="758"/>
      <c r="BC36" s="758"/>
      <c r="BD36" s="758"/>
      <c r="BE36" s="758"/>
      <c r="BF36" s="758"/>
      <c r="BG36" s="758"/>
      <c r="BH36" s="758"/>
      <c r="BI36" s="758"/>
      <c r="BJ36" s="758"/>
      <c r="BK36" s="758"/>
      <c r="BL36" s="758"/>
      <c r="BM36" s="758"/>
      <c r="BN36" s="758"/>
      <c r="BO36" s="758"/>
      <c r="BP36" s="758"/>
      <c r="BQ36" s="758"/>
      <c r="BR36" s="758"/>
      <c r="BS36" s="758"/>
      <c r="BT36" s="758"/>
      <c r="BU36" s="758"/>
      <c r="BV36" s="758"/>
      <c r="BW36" s="758"/>
      <c r="BX36" s="758"/>
      <c r="BY36" s="758"/>
      <c r="BZ36" s="758"/>
      <c r="CA36" s="758"/>
      <c r="CB36" s="758"/>
      <c r="CC36" s="758"/>
      <c r="CD36" s="758"/>
      <c r="CE36" s="758"/>
      <c r="CF36" s="758"/>
      <c r="CG36" s="758"/>
      <c r="CH36" s="758"/>
      <c r="CI36" s="758"/>
      <c r="CJ36" s="758"/>
      <c r="CK36" s="758"/>
      <c r="CL36" s="758"/>
      <c r="CM36" s="758"/>
      <c r="CN36" s="753"/>
      <c r="CO36" s="753"/>
      <c r="CP36" s="753"/>
      <c r="CQ36" s="753"/>
      <c r="CR36" s="753"/>
      <c r="CS36" s="753"/>
      <c r="CT36" s="753"/>
      <c r="CU36" s="753"/>
      <c r="CV36" s="753"/>
      <c r="CW36" s="753"/>
      <c r="CX36" s="753"/>
      <c r="CY36" s="753"/>
      <c r="CZ36" s="753"/>
      <c r="DA36" s="753"/>
      <c r="DB36" s="753"/>
      <c r="DC36" s="753"/>
      <c r="DD36" s="753"/>
      <c r="DE36" s="753"/>
      <c r="DF36" s="753"/>
      <c r="DG36" s="753"/>
      <c r="DH36" s="753"/>
      <c r="DI36" s="753"/>
      <c r="DJ36" s="753"/>
      <c r="DK36" s="753"/>
      <c r="DL36" s="753"/>
      <c r="DM36" s="776"/>
      <c r="DN36" s="776"/>
      <c r="DO36" s="758"/>
      <c r="DP36" s="758"/>
      <c r="DQ36" s="758"/>
      <c r="DR36" s="758"/>
      <c r="DS36" s="758"/>
      <c r="DT36" s="758"/>
      <c r="DU36" s="758"/>
      <c r="DV36" s="758"/>
      <c r="DW36" s="819"/>
      <c r="DX36" s="758"/>
      <c r="DY36" s="758"/>
      <c r="DZ36" s="758"/>
      <c r="EA36" s="758"/>
      <c r="EB36" s="758"/>
      <c r="EC36" s="758"/>
      <c r="ED36" s="758"/>
      <c r="EE36" s="758"/>
      <c r="EF36" s="758"/>
      <c r="EG36" s="758"/>
      <c r="EH36" s="758"/>
      <c r="EI36" s="758"/>
      <c r="EJ36" s="758"/>
      <c r="EK36" s="758"/>
      <c r="EL36" s="758"/>
      <c r="EM36" s="758"/>
      <c r="EN36" s="758"/>
      <c r="EO36" s="758"/>
      <c r="EP36" s="758"/>
      <c r="EQ36" s="758"/>
      <c r="ER36" s="758"/>
      <c r="ES36" s="758"/>
      <c r="ET36" s="758"/>
      <c r="EU36" s="758"/>
      <c r="EV36" s="758"/>
      <c r="EW36" s="758"/>
      <c r="EX36" s="758"/>
      <c r="EY36" s="758"/>
      <c r="EZ36" s="758"/>
      <c r="FA36" s="758"/>
      <c r="FB36" s="758"/>
      <c r="FC36" s="758"/>
      <c r="FD36" s="758"/>
      <c r="FE36" s="758"/>
      <c r="FF36" s="758"/>
      <c r="FG36" s="758"/>
      <c r="FH36" s="758"/>
      <c r="FI36" s="758"/>
      <c r="FJ36" s="758"/>
      <c r="FK36" s="758"/>
      <c r="FL36" s="758"/>
      <c r="FM36" s="758"/>
      <c r="FN36" s="758"/>
      <c r="FO36" s="758"/>
      <c r="FP36" s="758"/>
      <c r="FQ36" s="758"/>
      <c r="FR36" s="758"/>
      <c r="FS36" s="758"/>
      <c r="FT36" s="758"/>
      <c r="FU36" s="758"/>
      <c r="FV36" s="758"/>
      <c r="FW36" s="758"/>
      <c r="FX36" s="758"/>
      <c r="FY36" s="758"/>
      <c r="FZ36" s="758"/>
      <c r="GA36" s="758"/>
      <c r="GB36" s="758"/>
      <c r="GC36" s="758"/>
      <c r="GD36" s="758"/>
      <c r="GE36" s="758"/>
      <c r="GF36" s="758"/>
      <c r="GG36" s="758"/>
      <c r="GH36" s="758"/>
      <c r="GI36" s="758"/>
      <c r="GJ36" s="758"/>
      <c r="GK36" s="758"/>
      <c r="GL36" s="758"/>
      <c r="GM36" s="758"/>
      <c r="GN36" s="758"/>
      <c r="GO36" s="758"/>
      <c r="GP36" s="758"/>
      <c r="GQ36" s="758"/>
      <c r="GR36" s="758"/>
      <c r="GS36" s="758"/>
      <c r="GT36" s="758"/>
      <c r="GU36" s="758"/>
      <c r="GV36" s="758"/>
      <c r="GW36" s="758"/>
      <c r="GX36" s="758"/>
      <c r="GY36" s="758"/>
      <c r="GZ36" s="758"/>
      <c r="HA36" s="758"/>
      <c r="HB36" s="758"/>
      <c r="HC36" s="758"/>
      <c r="HD36" s="758"/>
      <c r="HE36" s="758"/>
      <c r="HF36" s="758"/>
      <c r="HG36" s="758"/>
      <c r="HH36" s="758"/>
      <c r="HI36" s="758"/>
      <c r="HJ36" s="758"/>
      <c r="HK36" s="758"/>
      <c r="HL36" s="758"/>
      <c r="HM36" s="758"/>
      <c r="HN36" s="758"/>
      <c r="HO36" s="758"/>
      <c r="HP36" s="758"/>
      <c r="HQ36" s="758"/>
      <c r="HR36" s="758"/>
      <c r="HS36" s="758"/>
      <c r="HT36" s="758"/>
      <c r="HU36" s="758"/>
      <c r="HV36" s="758"/>
      <c r="HW36" s="758"/>
      <c r="HX36" s="758"/>
      <c r="HY36" s="758"/>
      <c r="HZ36" s="758"/>
      <c r="IA36" s="758"/>
      <c r="IB36" s="758"/>
      <c r="IC36" s="758"/>
      <c r="ID36" s="758"/>
      <c r="IE36" s="758"/>
      <c r="IF36" s="758"/>
      <c r="IG36" s="758"/>
      <c r="IH36" s="758"/>
      <c r="II36" s="758"/>
      <c r="IJ36" s="758"/>
      <c r="IK36" s="758"/>
      <c r="IL36" s="758"/>
      <c r="IM36" s="758"/>
      <c r="IN36" s="758"/>
      <c r="IO36" s="758"/>
      <c r="IP36" s="758"/>
      <c r="IQ36" s="758"/>
      <c r="IR36" s="758"/>
      <c r="IS36" s="758"/>
      <c r="IT36" s="758"/>
      <c r="IU36" s="758"/>
      <c r="IV36" s="758"/>
      <c r="IW36" s="758"/>
      <c r="IX36" s="758"/>
      <c r="IY36" s="758"/>
      <c r="IZ36" s="758"/>
      <c r="JA36" s="758"/>
      <c r="JB36" s="758"/>
      <c r="JC36" s="758"/>
      <c r="JD36" s="758"/>
      <c r="JE36" s="758"/>
      <c r="JF36" s="758"/>
      <c r="JG36" s="758"/>
      <c r="JH36" s="758"/>
      <c r="JI36" s="758"/>
      <c r="JJ36" s="758"/>
      <c r="JK36" s="758"/>
      <c r="JL36" s="758"/>
      <c r="JM36" s="758"/>
      <c r="JN36" s="758"/>
      <c r="JO36" s="758"/>
      <c r="JP36" s="758"/>
      <c r="JQ36" s="758"/>
      <c r="JR36" s="758"/>
      <c r="JS36" s="758"/>
      <c r="JT36" s="758"/>
      <c r="JU36" s="758"/>
      <c r="JV36" s="758"/>
      <c r="JW36" s="758"/>
      <c r="JX36" s="758"/>
      <c r="JY36" s="758"/>
      <c r="JZ36" s="758"/>
      <c r="KA36" s="758"/>
      <c r="KB36" s="758"/>
      <c r="KC36" s="758"/>
      <c r="KD36" s="758"/>
      <c r="KE36" s="758"/>
      <c r="KF36" s="758"/>
      <c r="KG36" s="758"/>
      <c r="KH36" s="758"/>
      <c r="KI36" s="758"/>
      <c r="KJ36" s="758"/>
      <c r="KK36" s="758"/>
      <c r="KL36" s="758"/>
      <c r="KM36" s="758"/>
      <c r="KN36" s="758"/>
      <c r="KO36" s="758"/>
      <c r="KP36" s="758"/>
      <c r="KQ36" s="758"/>
      <c r="KR36" s="758"/>
      <c r="KS36" s="758"/>
      <c r="KT36" s="758"/>
      <c r="KU36" s="758"/>
      <c r="KV36" s="758"/>
      <c r="KW36" s="758"/>
      <c r="KX36" s="758"/>
      <c r="KY36" s="758"/>
      <c r="KZ36" s="758"/>
      <c r="LA36" s="758"/>
      <c r="LB36" s="758"/>
      <c r="LC36" s="758"/>
      <c r="LD36" s="758"/>
      <c r="LE36" s="758"/>
      <c r="LF36" s="758"/>
      <c r="LG36" s="758"/>
      <c r="LH36" s="758"/>
      <c r="LI36" s="758"/>
      <c r="LJ36" s="758"/>
      <c r="LK36" s="758"/>
      <c r="LL36" s="758"/>
      <c r="LM36" s="758"/>
      <c r="LN36" s="758"/>
      <c r="LO36" s="758"/>
      <c r="LP36" s="758"/>
      <c r="LQ36" s="758"/>
      <c r="LR36" s="758"/>
      <c r="LS36" s="758"/>
      <c r="LT36" s="758"/>
      <c r="LU36" s="758"/>
      <c r="LV36" s="758"/>
      <c r="LW36" s="758"/>
      <c r="LX36" s="758"/>
      <c r="LY36" s="758"/>
      <c r="LZ36" s="758"/>
      <c r="MA36" s="758"/>
      <c r="MB36" s="758"/>
      <c r="MC36" s="758"/>
      <c r="MD36" s="758"/>
      <c r="ME36" s="758"/>
      <c r="MF36" s="758"/>
      <c r="MG36" s="758"/>
      <c r="MH36" s="758"/>
      <c r="MI36" s="758"/>
      <c r="MJ36" s="758"/>
      <c r="MK36" s="758"/>
      <c r="ML36" s="758"/>
      <c r="MM36" s="758"/>
      <c r="MN36" s="758"/>
      <c r="MO36" s="758"/>
      <c r="MP36" s="758"/>
      <c r="MQ36" s="758"/>
      <c r="MR36" s="758"/>
      <c r="MS36" s="758"/>
      <c r="MT36" s="758"/>
      <c r="MU36" s="758"/>
      <c r="MV36" s="758"/>
      <c r="MW36" s="758"/>
      <c r="MX36" s="758"/>
      <c r="MY36" s="758"/>
      <c r="MZ36" s="758"/>
      <c r="NA36" s="758"/>
      <c r="NB36" s="758"/>
      <c r="NC36" s="758"/>
      <c r="ND36" s="758"/>
      <c r="NE36" s="758"/>
    </row>
    <row r="37" spans="1:369" ht="12.75" customHeight="1">
      <c r="A37" s="857"/>
      <c r="B37" s="780"/>
      <c r="C37" s="89"/>
      <c r="D37" s="780"/>
      <c r="E37" s="780"/>
      <c r="F37" s="780"/>
      <c r="G37" s="780"/>
      <c r="H37" s="780"/>
      <c r="I37" s="829"/>
      <c r="K37" s="1065" t="s">
        <v>659</v>
      </c>
      <c r="L37" s="1123" t="s">
        <v>53</v>
      </c>
      <c r="M37" s="1123" t="s">
        <v>29</v>
      </c>
      <c r="N37" s="1123" t="s">
        <v>29</v>
      </c>
      <c r="O37" s="1123" t="s">
        <v>29</v>
      </c>
      <c r="P37" s="1130"/>
      <c r="Q37" s="783"/>
      <c r="U37" s="1063"/>
      <c r="V37" s="1076"/>
      <c r="W37" s="1076"/>
      <c r="X37" s="1063"/>
      <c r="Y37" s="1088"/>
      <c r="Z37" s="1088"/>
      <c r="AA37" s="758"/>
      <c r="AB37" s="753"/>
      <c r="AC37" s="753"/>
      <c r="AD37" s="753"/>
      <c r="AE37" s="753"/>
      <c r="AF37" s="753"/>
      <c r="AG37" s="758"/>
      <c r="AH37" s="758"/>
      <c r="AI37" s="1007"/>
      <c r="AJ37" s="1008" t="s">
        <v>1064</v>
      </c>
      <c r="AK37" s="1009"/>
      <c r="AL37" s="1009"/>
      <c r="AM37" s="1010"/>
      <c r="AN37" s="1020">
        <v>2.5</v>
      </c>
      <c r="AO37" s="1021">
        <v>2.5</v>
      </c>
      <c r="AP37" s="758"/>
      <c r="AQ37" s="758"/>
      <c r="AR37" s="758"/>
      <c r="AS37" s="758"/>
      <c r="AT37" s="758"/>
      <c r="AU37" s="758"/>
      <c r="AV37" s="758"/>
      <c r="AW37" s="758"/>
      <c r="AX37" s="758"/>
      <c r="AY37" s="758"/>
      <c r="AZ37" s="758"/>
      <c r="BA37" s="758"/>
      <c r="BB37" s="758"/>
      <c r="BC37" s="758"/>
      <c r="BD37" s="758"/>
      <c r="BE37" s="758"/>
      <c r="BF37" s="758"/>
      <c r="BG37" s="758"/>
      <c r="BH37" s="758"/>
      <c r="BI37" s="758"/>
      <c r="BJ37" s="758"/>
      <c r="BK37" s="758"/>
      <c r="BL37" s="758"/>
      <c r="BM37" s="758"/>
      <c r="BN37" s="758"/>
      <c r="BO37" s="758"/>
      <c r="BP37" s="758"/>
      <c r="BQ37" s="758"/>
      <c r="BR37" s="758"/>
      <c r="BS37" s="758"/>
      <c r="BT37" s="758"/>
      <c r="BU37" s="758"/>
      <c r="BV37" s="758"/>
      <c r="BW37" s="758"/>
      <c r="BX37" s="758"/>
      <c r="BY37" s="758"/>
      <c r="BZ37" s="758"/>
      <c r="CA37" s="758"/>
      <c r="CB37" s="758"/>
      <c r="CC37" s="758"/>
      <c r="CD37" s="758"/>
      <c r="CE37" s="758"/>
      <c r="CF37" s="758"/>
      <c r="CG37" s="758"/>
      <c r="CH37" s="758"/>
      <c r="CI37" s="758"/>
      <c r="CJ37" s="758"/>
      <c r="CK37" s="758"/>
      <c r="CL37" s="758"/>
      <c r="CM37" s="758"/>
      <c r="CN37" s="753"/>
      <c r="CO37" s="753"/>
      <c r="CP37" s="753"/>
      <c r="CQ37" s="753"/>
      <c r="CR37" s="753"/>
      <c r="CS37" s="753"/>
      <c r="CT37" s="753"/>
      <c r="CU37" s="753"/>
      <c r="CV37" s="753"/>
      <c r="CW37" s="753"/>
      <c r="CX37" s="753"/>
      <c r="CY37" s="753"/>
      <c r="CZ37" s="753"/>
      <c r="DA37" s="753"/>
      <c r="DB37" s="753"/>
      <c r="DC37" s="753"/>
      <c r="DD37" s="753"/>
      <c r="DE37" s="753"/>
      <c r="DF37" s="753"/>
      <c r="DG37" s="753"/>
      <c r="DH37" s="753"/>
      <c r="DI37" s="753"/>
      <c r="DJ37" s="753"/>
      <c r="DK37" s="753"/>
      <c r="DL37" s="753"/>
      <c r="DM37" s="776"/>
      <c r="DN37" s="776"/>
      <c r="DO37" s="758"/>
      <c r="DP37" s="758"/>
      <c r="DQ37" s="758"/>
      <c r="DR37" s="758"/>
      <c r="DS37" s="758"/>
      <c r="DT37" s="758"/>
      <c r="DU37" s="758"/>
      <c r="DV37" s="758"/>
      <c r="DW37" s="819"/>
      <c r="DX37" s="758"/>
      <c r="DY37" s="758"/>
      <c r="DZ37" s="758"/>
      <c r="EA37" s="758"/>
      <c r="EB37" s="758"/>
      <c r="EC37" s="758"/>
      <c r="ED37" s="758"/>
      <c r="EE37" s="758"/>
      <c r="EF37" s="758"/>
      <c r="EG37" s="758"/>
      <c r="EH37" s="758"/>
      <c r="EI37" s="758"/>
      <c r="EJ37" s="758"/>
      <c r="EK37" s="758"/>
      <c r="EL37" s="758"/>
      <c r="EM37" s="758"/>
      <c r="EN37" s="758"/>
      <c r="EO37" s="758"/>
      <c r="EP37" s="758"/>
      <c r="EQ37" s="758"/>
      <c r="ER37" s="758"/>
      <c r="ES37" s="758"/>
      <c r="ET37" s="758"/>
      <c r="EU37" s="758"/>
      <c r="EV37" s="758"/>
      <c r="EW37" s="758"/>
      <c r="EX37" s="758"/>
      <c r="EY37" s="758"/>
      <c r="EZ37" s="758"/>
      <c r="FA37" s="758"/>
      <c r="FB37" s="758"/>
      <c r="FC37" s="758"/>
      <c r="FD37" s="758"/>
      <c r="FE37" s="758"/>
      <c r="FF37" s="758"/>
      <c r="FG37" s="758"/>
      <c r="FH37" s="758"/>
      <c r="FI37" s="758"/>
      <c r="FJ37" s="758"/>
      <c r="FK37" s="758"/>
      <c r="FL37" s="758"/>
      <c r="FM37" s="758"/>
      <c r="FN37" s="758"/>
      <c r="FO37" s="758"/>
      <c r="FP37" s="758"/>
      <c r="FQ37" s="758"/>
      <c r="FR37" s="758"/>
      <c r="FS37" s="758"/>
      <c r="FT37" s="758"/>
      <c r="FU37" s="758"/>
      <c r="FV37" s="758"/>
      <c r="FW37" s="758"/>
      <c r="FX37" s="758"/>
      <c r="FY37" s="758"/>
      <c r="FZ37" s="758"/>
      <c r="GA37" s="758"/>
      <c r="GB37" s="758"/>
      <c r="GC37" s="758"/>
      <c r="GD37" s="758"/>
      <c r="GE37" s="758"/>
      <c r="GF37" s="758"/>
      <c r="GG37" s="758"/>
      <c r="GH37" s="758"/>
      <c r="GI37" s="758"/>
      <c r="GJ37" s="758"/>
      <c r="GK37" s="758"/>
      <c r="GL37" s="758"/>
      <c r="GM37" s="758"/>
      <c r="GN37" s="758"/>
      <c r="GO37" s="758"/>
      <c r="GP37" s="758"/>
      <c r="GQ37" s="758"/>
      <c r="GR37" s="758"/>
      <c r="GS37" s="758"/>
      <c r="GT37" s="758"/>
      <c r="GU37" s="758"/>
      <c r="GV37" s="758"/>
      <c r="GW37" s="758"/>
      <c r="GX37" s="758"/>
      <c r="GY37" s="758"/>
      <c r="GZ37" s="758"/>
      <c r="HA37" s="758"/>
      <c r="HB37" s="758"/>
      <c r="HC37" s="758"/>
      <c r="HD37" s="758"/>
      <c r="HE37" s="758"/>
      <c r="HF37" s="758"/>
      <c r="HG37" s="758"/>
      <c r="HH37" s="758"/>
      <c r="HI37" s="758"/>
      <c r="HJ37" s="758"/>
      <c r="HK37" s="758"/>
      <c r="HL37" s="758"/>
      <c r="HM37" s="758"/>
      <c r="HN37" s="758"/>
      <c r="HO37" s="758"/>
      <c r="HP37" s="758"/>
      <c r="HQ37" s="758"/>
      <c r="HR37" s="758"/>
      <c r="HS37" s="758"/>
      <c r="HT37" s="758"/>
      <c r="HU37" s="758"/>
      <c r="HV37" s="758"/>
      <c r="HW37" s="758"/>
      <c r="HX37" s="758"/>
      <c r="HY37" s="758"/>
      <c r="HZ37" s="758"/>
      <c r="IA37" s="758"/>
      <c r="IB37" s="758"/>
      <c r="IC37" s="758"/>
      <c r="ID37" s="758"/>
      <c r="IE37" s="758"/>
      <c r="IF37" s="758"/>
      <c r="IG37" s="758"/>
      <c r="IH37" s="758"/>
      <c r="II37" s="758"/>
      <c r="IJ37" s="758"/>
      <c r="IK37" s="758"/>
      <c r="IL37" s="758"/>
      <c r="IM37" s="758"/>
      <c r="IN37" s="758"/>
      <c r="IO37" s="758"/>
      <c r="IP37" s="758"/>
      <c r="IQ37" s="758"/>
      <c r="IR37" s="758"/>
      <c r="IS37" s="758"/>
      <c r="IT37" s="758"/>
      <c r="IU37" s="758"/>
      <c r="IV37" s="758"/>
      <c r="IW37" s="758"/>
      <c r="IX37" s="758"/>
      <c r="IY37" s="758"/>
      <c r="IZ37" s="758"/>
      <c r="JA37" s="758"/>
      <c r="JB37" s="758"/>
      <c r="JC37" s="758"/>
      <c r="JD37" s="758"/>
      <c r="JE37" s="758"/>
      <c r="JF37" s="758"/>
      <c r="JG37" s="758"/>
      <c r="JH37" s="758"/>
      <c r="JI37" s="758"/>
      <c r="JJ37" s="758"/>
      <c r="JK37" s="758"/>
      <c r="JL37" s="758"/>
      <c r="JM37" s="758"/>
      <c r="JN37" s="758"/>
      <c r="JO37" s="758"/>
      <c r="JP37" s="758"/>
      <c r="JQ37" s="758"/>
      <c r="JR37" s="758"/>
      <c r="JS37" s="758"/>
      <c r="JT37" s="758"/>
      <c r="JU37" s="758"/>
      <c r="JV37" s="758"/>
      <c r="JW37" s="758"/>
      <c r="JX37" s="758"/>
      <c r="JY37" s="758"/>
      <c r="JZ37" s="758"/>
      <c r="KA37" s="758"/>
      <c r="KB37" s="758"/>
      <c r="KC37" s="758"/>
      <c r="KD37" s="758"/>
      <c r="KE37" s="758"/>
      <c r="KF37" s="758"/>
      <c r="KG37" s="758"/>
      <c r="KH37" s="758"/>
      <c r="KI37" s="758"/>
      <c r="KJ37" s="758"/>
      <c r="KK37" s="758"/>
      <c r="KL37" s="758"/>
      <c r="KM37" s="758"/>
      <c r="KN37" s="758"/>
      <c r="KO37" s="758"/>
      <c r="KP37" s="758"/>
      <c r="KQ37" s="758"/>
      <c r="KR37" s="758"/>
      <c r="KS37" s="758"/>
      <c r="KT37" s="758"/>
      <c r="KU37" s="758"/>
      <c r="KV37" s="758"/>
      <c r="KW37" s="758"/>
      <c r="KX37" s="758"/>
      <c r="KY37" s="758"/>
      <c r="KZ37" s="758"/>
      <c r="LA37" s="758"/>
      <c r="LB37" s="758"/>
      <c r="LC37" s="758"/>
      <c r="LD37" s="758"/>
      <c r="LE37" s="758"/>
      <c r="LF37" s="758"/>
      <c r="LG37" s="758"/>
      <c r="LH37" s="758"/>
      <c r="LI37" s="758"/>
      <c r="LJ37" s="758"/>
      <c r="LK37" s="758"/>
      <c r="LL37" s="758"/>
      <c r="LM37" s="758"/>
      <c r="LN37" s="758"/>
      <c r="LO37" s="758"/>
      <c r="LP37" s="758"/>
      <c r="LQ37" s="758"/>
      <c r="LR37" s="758"/>
      <c r="LS37" s="758"/>
      <c r="LT37" s="758"/>
      <c r="LU37" s="758"/>
      <c r="LV37" s="758"/>
      <c r="LW37" s="758"/>
      <c r="LX37" s="758"/>
      <c r="LY37" s="758"/>
      <c r="LZ37" s="758"/>
      <c r="MA37" s="758"/>
      <c r="MB37" s="758"/>
      <c r="MC37" s="758"/>
      <c r="MD37" s="758"/>
      <c r="ME37" s="758"/>
      <c r="MF37" s="758"/>
      <c r="MG37" s="758"/>
      <c r="MH37" s="758"/>
      <c r="MI37" s="758"/>
      <c r="MJ37" s="758"/>
      <c r="MK37" s="758"/>
      <c r="ML37" s="758"/>
      <c r="MM37" s="758"/>
      <c r="MN37" s="758"/>
      <c r="MO37" s="758"/>
      <c r="MP37" s="758"/>
      <c r="MQ37" s="758"/>
      <c r="MR37" s="758"/>
      <c r="MS37" s="758"/>
      <c r="MT37" s="758"/>
      <c r="MU37" s="758"/>
      <c r="MV37" s="758"/>
      <c r="MW37" s="758"/>
      <c r="MX37" s="758"/>
      <c r="MY37" s="758"/>
      <c r="MZ37" s="758"/>
      <c r="NA37" s="758"/>
      <c r="NB37" s="758"/>
      <c r="NC37" s="758"/>
      <c r="ND37" s="758"/>
      <c r="NE37" s="758"/>
    </row>
    <row r="38" spans="1:369" ht="12.75" customHeight="1">
      <c r="A38" s="854" t="s">
        <v>1066</v>
      </c>
      <c r="B38" s="753"/>
      <c r="C38" s="33"/>
      <c r="D38" s="753"/>
      <c r="E38" s="753"/>
      <c r="F38" s="764"/>
      <c r="G38" s="780"/>
      <c r="H38" s="780"/>
      <c r="I38" s="829"/>
      <c r="K38" s="1065" t="s">
        <v>957</v>
      </c>
      <c r="L38" s="1126" t="s">
        <v>369</v>
      </c>
      <c r="M38" s="1126" t="s">
        <v>31</v>
      </c>
      <c r="N38" s="1126" t="s">
        <v>31</v>
      </c>
      <c r="O38" s="1126" t="s">
        <v>33</v>
      </c>
      <c r="P38" s="1130"/>
      <c r="Q38" s="783"/>
      <c r="T38" s="1081"/>
      <c r="U38" s="1063"/>
      <c r="V38" s="1129"/>
      <c r="W38" s="1129"/>
      <c r="X38" s="1100"/>
      <c r="Y38" s="1088"/>
      <c r="Z38" s="1088"/>
      <c r="AA38" s="758"/>
      <c r="AB38" s="767"/>
      <c r="AC38" s="769"/>
      <c r="AD38" s="753"/>
      <c r="AE38" s="753"/>
      <c r="AF38" s="753"/>
      <c r="AG38" s="758"/>
      <c r="AH38" s="758"/>
      <c r="AI38" s="1013"/>
      <c r="AJ38" s="1014" t="s">
        <v>1065</v>
      </c>
      <c r="AK38" s="1015"/>
      <c r="AL38" s="1015"/>
      <c r="AM38" s="1016"/>
      <c r="AN38" s="1017">
        <v>2.5</v>
      </c>
      <c r="AO38" s="1023">
        <v>1.5</v>
      </c>
      <c r="AP38" s="758"/>
      <c r="AQ38" s="758"/>
      <c r="AR38" s="758"/>
      <c r="AS38" s="758"/>
      <c r="AT38" s="758"/>
      <c r="AU38" s="758"/>
      <c r="AV38" s="758"/>
      <c r="AW38" s="758"/>
      <c r="AX38" s="758"/>
      <c r="AY38" s="758"/>
      <c r="AZ38" s="758"/>
      <c r="BA38" s="758"/>
      <c r="BB38" s="758"/>
      <c r="BC38" s="758"/>
      <c r="BD38" s="758"/>
      <c r="BE38" s="758"/>
      <c r="BF38" s="758"/>
      <c r="BG38" s="758"/>
      <c r="BH38" s="758"/>
      <c r="BI38" s="758"/>
      <c r="BJ38" s="758"/>
      <c r="BK38" s="758"/>
      <c r="BL38" s="758"/>
      <c r="BM38" s="758"/>
      <c r="BN38" s="758"/>
      <c r="BO38" s="758"/>
      <c r="BP38" s="758"/>
      <c r="BQ38" s="758"/>
      <c r="BR38" s="758"/>
      <c r="BS38" s="758"/>
      <c r="BT38" s="758"/>
      <c r="BU38" s="758"/>
      <c r="BV38" s="758"/>
      <c r="BW38" s="758"/>
      <c r="BX38" s="758"/>
      <c r="BY38" s="758"/>
      <c r="BZ38" s="758"/>
      <c r="CA38" s="758"/>
      <c r="CB38" s="758"/>
      <c r="CC38" s="758"/>
      <c r="CD38" s="758"/>
      <c r="CE38" s="758"/>
      <c r="CF38" s="758"/>
      <c r="CG38" s="758"/>
      <c r="CH38" s="758"/>
      <c r="CI38" s="758"/>
      <c r="CJ38" s="758"/>
      <c r="CK38" s="758"/>
      <c r="CL38" s="758"/>
      <c r="CM38" s="758"/>
      <c r="CN38" s="753"/>
      <c r="CO38" s="753"/>
      <c r="CP38" s="753"/>
      <c r="CQ38" s="753"/>
      <c r="CR38" s="753"/>
      <c r="CS38" s="753"/>
      <c r="CT38" s="753"/>
      <c r="CU38" s="753"/>
      <c r="CV38" s="753"/>
      <c r="CW38" s="753"/>
      <c r="CX38" s="753"/>
      <c r="CY38" s="753"/>
      <c r="CZ38" s="753"/>
      <c r="DA38" s="753"/>
      <c r="DB38" s="753"/>
      <c r="DC38" s="753"/>
      <c r="DD38" s="753"/>
      <c r="DE38" s="753"/>
      <c r="DF38" s="753"/>
      <c r="DG38" s="753"/>
      <c r="DH38" s="753"/>
      <c r="DI38" s="753"/>
      <c r="DJ38" s="753"/>
      <c r="DK38" s="753"/>
      <c r="DL38" s="753"/>
      <c r="DM38" s="776"/>
      <c r="DN38" s="776"/>
      <c r="DO38" s="758"/>
      <c r="DP38" s="758"/>
      <c r="DQ38" s="758"/>
      <c r="DR38" s="758"/>
      <c r="DS38" s="758"/>
      <c r="DT38" s="758"/>
      <c r="DU38" s="758"/>
      <c r="DV38" s="758"/>
      <c r="DW38" s="819"/>
      <c r="DX38" s="758"/>
      <c r="DY38" s="758"/>
      <c r="DZ38" s="758"/>
      <c r="EA38" s="758"/>
      <c r="EB38" s="758"/>
      <c r="EC38" s="758"/>
      <c r="ED38" s="758"/>
      <c r="EE38" s="758"/>
      <c r="EF38" s="758"/>
      <c r="EG38" s="758"/>
      <c r="EH38" s="758"/>
      <c r="EI38" s="758"/>
      <c r="EJ38" s="758"/>
      <c r="EK38" s="758"/>
      <c r="EL38" s="758"/>
      <c r="EM38" s="758"/>
      <c r="EN38" s="758"/>
      <c r="EO38" s="758"/>
      <c r="EP38" s="758"/>
      <c r="EQ38" s="758"/>
      <c r="ER38" s="758"/>
      <c r="ES38" s="758"/>
      <c r="ET38" s="758"/>
      <c r="EU38" s="758"/>
      <c r="EV38" s="758"/>
      <c r="EW38" s="758"/>
      <c r="EX38" s="758"/>
      <c r="EY38" s="758"/>
      <c r="EZ38" s="758"/>
      <c r="FA38" s="758"/>
      <c r="FB38" s="758"/>
      <c r="FC38" s="758"/>
      <c r="FD38" s="758"/>
      <c r="FE38" s="758"/>
      <c r="FF38" s="758"/>
      <c r="FG38" s="758"/>
      <c r="FH38" s="758"/>
      <c r="FI38" s="758"/>
      <c r="FJ38" s="758"/>
      <c r="FK38" s="758"/>
      <c r="FL38" s="758"/>
      <c r="FM38" s="758"/>
      <c r="FN38" s="758"/>
      <c r="FO38" s="758"/>
      <c r="FP38" s="758"/>
      <c r="FQ38" s="758"/>
      <c r="FR38" s="758"/>
      <c r="FS38" s="758"/>
      <c r="FT38" s="758"/>
      <c r="FU38" s="758"/>
      <c r="FV38" s="758"/>
      <c r="FW38" s="758"/>
      <c r="FX38" s="758"/>
      <c r="FY38" s="758"/>
      <c r="FZ38" s="758"/>
      <c r="GA38" s="758"/>
      <c r="GB38" s="758"/>
      <c r="GC38" s="758"/>
      <c r="GD38" s="758"/>
      <c r="GE38" s="758"/>
      <c r="GF38" s="758"/>
      <c r="GG38" s="758"/>
      <c r="GH38" s="758"/>
      <c r="GI38" s="758"/>
      <c r="GJ38" s="758"/>
      <c r="GK38" s="758"/>
      <c r="GL38" s="758"/>
      <c r="GM38" s="758"/>
      <c r="GN38" s="758"/>
      <c r="GO38" s="758"/>
      <c r="GP38" s="758"/>
      <c r="GQ38" s="758"/>
      <c r="GR38" s="758"/>
      <c r="GS38" s="758"/>
      <c r="GT38" s="758"/>
      <c r="GU38" s="758"/>
      <c r="GV38" s="758"/>
      <c r="GW38" s="758"/>
      <c r="GX38" s="758"/>
      <c r="GY38" s="758"/>
      <c r="GZ38" s="758"/>
      <c r="HA38" s="758"/>
      <c r="HB38" s="758"/>
      <c r="HC38" s="758"/>
      <c r="HD38" s="758"/>
      <c r="HE38" s="758"/>
      <c r="HF38" s="758"/>
      <c r="HG38" s="758"/>
      <c r="HH38" s="758"/>
      <c r="HI38" s="758"/>
      <c r="HJ38" s="758"/>
      <c r="HK38" s="758"/>
      <c r="HL38" s="758"/>
      <c r="HM38" s="758"/>
      <c r="HN38" s="758"/>
      <c r="HO38" s="758"/>
      <c r="HP38" s="758"/>
      <c r="HQ38" s="758"/>
      <c r="HR38" s="758"/>
      <c r="HS38" s="758"/>
      <c r="HT38" s="758"/>
      <c r="HU38" s="758"/>
      <c r="HV38" s="758"/>
      <c r="HW38" s="758"/>
      <c r="HX38" s="758"/>
      <c r="HY38" s="758"/>
      <c r="HZ38" s="758"/>
      <c r="IA38" s="758"/>
      <c r="IB38" s="758"/>
      <c r="IC38" s="758"/>
      <c r="ID38" s="758"/>
      <c r="IE38" s="758"/>
      <c r="IF38" s="758"/>
      <c r="IG38" s="758"/>
      <c r="IH38" s="758"/>
      <c r="II38" s="758"/>
      <c r="IJ38" s="758"/>
      <c r="IK38" s="758"/>
      <c r="IL38" s="758"/>
      <c r="IM38" s="758"/>
      <c r="IN38" s="758"/>
      <c r="IO38" s="758"/>
      <c r="IP38" s="758"/>
      <c r="IQ38" s="758"/>
      <c r="IR38" s="758"/>
      <c r="IS38" s="758"/>
      <c r="IT38" s="758"/>
      <c r="IU38" s="758"/>
      <c r="IV38" s="758"/>
      <c r="IW38" s="758"/>
      <c r="IX38" s="758"/>
      <c r="IY38" s="758"/>
      <c r="IZ38" s="758"/>
      <c r="JA38" s="758"/>
      <c r="JB38" s="758"/>
      <c r="JC38" s="758"/>
      <c r="JD38" s="758"/>
      <c r="JE38" s="758"/>
      <c r="JF38" s="758"/>
      <c r="JG38" s="758"/>
      <c r="JH38" s="758"/>
      <c r="JI38" s="758"/>
      <c r="JJ38" s="758"/>
      <c r="JK38" s="758"/>
      <c r="JL38" s="758"/>
      <c r="JM38" s="758"/>
      <c r="JN38" s="758"/>
      <c r="JO38" s="758"/>
      <c r="JP38" s="758"/>
      <c r="JQ38" s="758"/>
      <c r="JR38" s="758"/>
      <c r="JS38" s="758"/>
      <c r="JT38" s="758"/>
      <c r="JU38" s="758"/>
      <c r="JV38" s="758"/>
      <c r="JW38" s="758"/>
      <c r="JX38" s="758"/>
      <c r="JY38" s="758"/>
      <c r="JZ38" s="758"/>
      <c r="KA38" s="758"/>
      <c r="KB38" s="758"/>
      <c r="KC38" s="758"/>
      <c r="KD38" s="758"/>
      <c r="KE38" s="758"/>
      <c r="KF38" s="758"/>
      <c r="KG38" s="758"/>
      <c r="KH38" s="758"/>
      <c r="KI38" s="758"/>
      <c r="KJ38" s="758"/>
      <c r="KK38" s="758"/>
      <c r="KL38" s="758"/>
      <c r="KM38" s="758"/>
      <c r="KN38" s="758"/>
      <c r="KO38" s="758"/>
      <c r="KP38" s="758"/>
      <c r="KQ38" s="758"/>
      <c r="KR38" s="758"/>
      <c r="KS38" s="758"/>
      <c r="KT38" s="758"/>
      <c r="KU38" s="758"/>
      <c r="KV38" s="758"/>
      <c r="KW38" s="758"/>
      <c r="KX38" s="758"/>
      <c r="KY38" s="758"/>
      <c r="KZ38" s="758"/>
      <c r="LA38" s="758"/>
      <c r="LB38" s="758"/>
      <c r="LC38" s="758"/>
      <c r="LD38" s="758"/>
      <c r="LE38" s="758"/>
      <c r="LF38" s="758"/>
      <c r="LG38" s="758"/>
      <c r="LH38" s="758"/>
      <c r="LI38" s="758"/>
      <c r="LJ38" s="758"/>
      <c r="LK38" s="758"/>
      <c r="LL38" s="758"/>
      <c r="LM38" s="758"/>
      <c r="LN38" s="758"/>
      <c r="LO38" s="758"/>
      <c r="LP38" s="758"/>
      <c r="LQ38" s="758"/>
      <c r="LR38" s="758"/>
      <c r="LS38" s="758"/>
      <c r="LT38" s="758"/>
      <c r="LU38" s="758"/>
      <c r="LV38" s="758"/>
      <c r="LW38" s="758"/>
      <c r="LX38" s="758"/>
      <c r="LY38" s="758"/>
      <c r="LZ38" s="758"/>
      <c r="MA38" s="758"/>
      <c r="MB38" s="758"/>
      <c r="MC38" s="758"/>
      <c r="MD38" s="758"/>
      <c r="ME38" s="758"/>
      <c r="MF38" s="758"/>
      <c r="MG38" s="758"/>
      <c r="MH38" s="758"/>
      <c r="MI38" s="758"/>
      <c r="MJ38" s="758"/>
      <c r="MK38" s="758"/>
      <c r="ML38" s="758"/>
      <c r="MM38" s="758"/>
      <c r="MN38" s="758"/>
      <c r="MO38" s="758"/>
      <c r="MP38" s="758"/>
      <c r="MQ38" s="758"/>
      <c r="MR38" s="758"/>
      <c r="MS38" s="758"/>
      <c r="MT38" s="758"/>
      <c r="MU38" s="758"/>
      <c r="MV38" s="758"/>
      <c r="MW38" s="758"/>
      <c r="MX38" s="758"/>
      <c r="MY38" s="758"/>
      <c r="MZ38" s="758"/>
      <c r="NA38" s="758"/>
      <c r="NB38" s="758"/>
      <c r="NC38" s="758"/>
      <c r="ND38" s="758"/>
      <c r="NE38" s="758"/>
    </row>
    <row r="39" spans="1:369" ht="12.75" customHeight="1">
      <c r="A39" s="857"/>
      <c r="B39" s="798" t="s">
        <v>1067</v>
      </c>
      <c r="C39" s="52" t="e">
        <f>IF($C$36="N.A.","N.A.",VLOOKUP($C$17,$T$6:$W$30,3, FALSE))</f>
        <v>#N/A</v>
      </c>
      <c r="D39" s="1057" t="s">
        <v>1175</v>
      </c>
      <c r="E39" s="780"/>
      <c r="F39" s="780"/>
      <c r="G39" s="780"/>
      <c r="H39" s="780"/>
      <c r="I39" s="836"/>
      <c r="J39" s="1127" t="s">
        <v>25</v>
      </c>
      <c r="K39" s="1065" t="s">
        <v>959</v>
      </c>
      <c r="L39" s="1126" t="s">
        <v>372</v>
      </c>
      <c r="M39" s="1126" t="s">
        <v>33</v>
      </c>
      <c r="N39" s="1126" t="s">
        <v>33</v>
      </c>
      <c r="O39" s="1126" t="s">
        <v>32</v>
      </c>
      <c r="P39" s="1130"/>
      <c r="Q39" s="783"/>
      <c r="T39" s="1063"/>
      <c r="U39" s="1063"/>
      <c r="V39" s="1076"/>
      <c r="W39" s="1076"/>
      <c r="X39" s="1100"/>
      <c r="Y39" s="1088"/>
      <c r="Z39" s="1088"/>
      <c r="AA39" s="758"/>
      <c r="AB39" s="767"/>
      <c r="AC39" s="768"/>
      <c r="AD39" s="915"/>
      <c r="AE39" s="753"/>
      <c r="AF39" s="753"/>
      <c r="AG39" s="758"/>
      <c r="AH39" s="758"/>
      <c r="AI39" s="1025" t="s">
        <v>1198</v>
      </c>
      <c r="AJ39" s="1026"/>
      <c r="AK39" s="1026"/>
      <c r="AL39" s="1026"/>
      <c r="AM39" s="1027"/>
      <c r="AN39" s="1030">
        <v>1</v>
      </c>
      <c r="AO39" s="1029">
        <v>2.5</v>
      </c>
      <c r="AP39" s="758"/>
      <c r="AQ39" s="758"/>
      <c r="AR39" s="758"/>
      <c r="AS39" s="758"/>
      <c r="AT39" s="758"/>
      <c r="AU39" s="758"/>
      <c r="AV39" s="758"/>
      <c r="AW39" s="758"/>
      <c r="AX39" s="758"/>
      <c r="AY39" s="758"/>
      <c r="AZ39" s="758"/>
      <c r="BA39" s="758"/>
      <c r="BB39" s="758"/>
      <c r="BC39" s="758"/>
      <c r="BD39" s="758"/>
      <c r="BE39" s="758"/>
      <c r="BF39" s="758"/>
      <c r="BG39" s="758"/>
      <c r="BH39" s="758"/>
      <c r="BI39" s="758"/>
      <c r="BJ39" s="758"/>
      <c r="BK39" s="758"/>
      <c r="BL39" s="758"/>
      <c r="BM39" s="758"/>
      <c r="BN39" s="758"/>
      <c r="BO39" s="758"/>
      <c r="BP39" s="758"/>
      <c r="BQ39" s="758"/>
      <c r="BR39" s="758"/>
      <c r="BS39" s="758"/>
      <c r="BT39" s="758"/>
      <c r="BU39" s="758"/>
      <c r="BV39" s="758"/>
      <c r="BW39" s="758"/>
      <c r="BX39" s="758"/>
      <c r="BY39" s="758"/>
      <c r="BZ39" s="758"/>
      <c r="CA39" s="758"/>
      <c r="CB39" s="758"/>
      <c r="CC39" s="758"/>
      <c r="CD39" s="758"/>
      <c r="CE39" s="758"/>
      <c r="CF39" s="758"/>
      <c r="CG39" s="758"/>
      <c r="CH39" s="758"/>
      <c r="CI39" s="758"/>
      <c r="CJ39" s="758"/>
      <c r="CK39" s="758"/>
      <c r="CL39" s="758"/>
      <c r="CM39" s="758"/>
      <c r="CN39" s="753"/>
      <c r="CO39" s="753"/>
      <c r="CP39" s="753"/>
      <c r="CQ39" s="753"/>
      <c r="CR39" s="753"/>
      <c r="CS39" s="753"/>
      <c r="CT39" s="753"/>
      <c r="CU39" s="753"/>
      <c r="CV39" s="753"/>
      <c r="CW39" s="753"/>
      <c r="CX39" s="753"/>
      <c r="CY39" s="753"/>
      <c r="CZ39" s="753"/>
      <c r="DA39" s="753"/>
      <c r="DB39" s="753"/>
      <c r="DC39" s="753"/>
      <c r="DD39" s="753"/>
      <c r="DE39" s="753"/>
      <c r="DF39" s="753"/>
      <c r="DG39" s="753"/>
      <c r="DH39" s="753"/>
      <c r="DI39" s="753"/>
      <c r="DJ39" s="753"/>
      <c r="DK39" s="753"/>
      <c r="DL39" s="753"/>
      <c r="DM39" s="776"/>
      <c r="DN39" s="776"/>
      <c r="DO39" s="758"/>
      <c r="DP39" s="758"/>
      <c r="DQ39" s="758"/>
      <c r="DR39" s="758"/>
      <c r="DS39" s="758"/>
      <c r="DT39" s="758"/>
      <c r="DU39" s="758"/>
      <c r="DV39" s="758"/>
      <c r="DW39" s="758"/>
      <c r="DX39" s="758"/>
      <c r="DY39" s="758"/>
      <c r="DZ39" s="758"/>
      <c r="EA39" s="758"/>
      <c r="EB39" s="758"/>
      <c r="EC39" s="758"/>
      <c r="ED39" s="758"/>
      <c r="EE39" s="758"/>
      <c r="EF39" s="758"/>
      <c r="EG39" s="758"/>
      <c r="EH39" s="758"/>
      <c r="EI39" s="758"/>
      <c r="EJ39" s="758"/>
      <c r="EK39" s="758"/>
      <c r="EL39" s="758"/>
      <c r="EM39" s="758"/>
      <c r="EN39" s="758"/>
      <c r="EO39" s="758"/>
      <c r="EP39" s="758"/>
      <c r="EQ39" s="758"/>
      <c r="ER39" s="758"/>
      <c r="ES39" s="758"/>
      <c r="ET39" s="758"/>
      <c r="EU39" s="758"/>
      <c r="EV39" s="758"/>
      <c r="EW39" s="758"/>
      <c r="EX39" s="758"/>
      <c r="EY39" s="758"/>
      <c r="EZ39" s="758"/>
      <c r="FA39" s="758"/>
      <c r="FB39" s="758"/>
      <c r="FC39" s="758"/>
      <c r="FD39" s="758"/>
      <c r="FE39" s="758"/>
      <c r="FF39" s="758"/>
      <c r="FG39" s="758"/>
      <c r="FH39" s="758"/>
      <c r="FI39" s="758"/>
      <c r="FJ39" s="758"/>
      <c r="FK39" s="758"/>
      <c r="FL39" s="758"/>
      <c r="FM39" s="758"/>
      <c r="FN39" s="758"/>
      <c r="FO39" s="758"/>
      <c r="FP39" s="758"/>
      <c r="FQ39" s="758"/>
      <c r="FR39" s="758"/>
      <c r="FS39" s="758"/>
      <c r="FT39" s="758"/>
      <c r="FU39" s="758"/>
      <c r="FV39" s="758"/>
      <c r="FW39" s="758"/>
      <c r="FX39" s="758"/>
      <c r="FY39" s="758"/>
      <c r="FZ39" s="758"/>
      <c r="GA39" s="758"/>
      <c r="GB39" s="758"/>
      <c r="GC39" s="758"/>
      <c r="GD39" s="758"/>
      <c r="GE39" s="758"/>
      <c r="GF39" s="758"/>
      <c r="GG39" s="758"/>
      <c r="GH39" s="758"/>
      <c r="GI39" s="758"/>
      <c r="GJ39" s="758"/>
      <c r="GK39" s="758"/>
      <c r="GL39" s="758"/>
      <c r="GM39" s="758"/>
      <c r="GN39" s="758"/>
      <c r="GO39" s="758"/>
      <c r="GP39" s="758"/>
      <c r="GQ39" s="758"/>
      <c r="GR39" s="758"/>
      <c r="GS39" s="758"/>
      <c r="GT39" s="758"/>
      <c r="GU39" s="758"/>
      <c r="GV39" s="758"/>
      <c r="GW39" s="758"/>
      <c r="GX39" s="758"/>
      <c r="GY39" s="758"/>
      <c r="GZ39" s="758"/>
      <c r="HA39" s="758"/>
      <c r="HB39" s="758"/>
      <c r="HC39" s="758"/>
      <c r="HD39" s="758"/>
      <c r="HE39" s="758"/>
      <c r="HF39" s="758"/>
      <c r="HG39" s="758"/>
      <c r="HH39" s="758"/>
      <c r="HI39" s="758"/>
      <c r="HJ39" s="758"/>
      <c r="HK39" s="758"/>
      <c r="HL39" s="758"/>
      <c r="HM39" s="758"/>
      <c r="HN39" s="758"/>
      <c r="HO39" s="758"/>
      <c r="HP39" s="758"/>
      <c r="HQ39" s="758"/>
      <c r="HR39" s="758"/>
      <c r="HS39" s="758"/>
      <c r="HT39" s="758"/>
      <c r="HU39" s="758"/>
      <c r="HV39" s="758"/>
      <c r="HW39" s="758"/>
      <c r="HX39" s="758"/>
      <c r="HY39" s="758"/>
      <c r="HZ39" s="758"/>
      <c r="IA39" s="758"/>
      <c r="IB39" s="758"/>
      <c r="IC39" s="758"/>
      <c r="ID39" s="758"/>
      <c r="IE39" s="758"/>
      <c r="IF39" s="758"/>
      <c r="IG39" s="758"/>
      <c r="IH39" s="758"/>
      <c r="II39" s="758"/>
      <c r="IJ39" s="758"/>
      <c r="IK39" s="758"/>
      <c r="IL39" s="758"/>
      <c r="IM39" s="758"/>
      <c r="IN39" s="758"/>
      <c r="IO39" s="758"/>
      <c r="IP39" s="758"/>
      <c r="IQ39" s="758"/>
      <c r="IR39" s="758"/>
      <c r="IS39" s="758"/>
      <c r="IT39" s="758"/>
      <c r="IU39" s="758"/>
      <c r="IV39" s="758"/>
      <c r="IW39" s="758"/>
      <c r="IX39" s="758"/>
      <c r="IY39" s="758"/>
      <c r="IZ39" s="758"/>
      <c r="JA39" s="758"/>
      <c r="JB39" s="758"/>
      <c r="JC39" s="758"/>
      <c r="JD39" s="758"/>
      <c r="JE39" s="758"/>
      <c r="JF39" s="758"/>
      <c r="JG39" s="758"/>
      <c r="JH39" s="758"/>
      <c r="JI39" s="758"/>
      <c r="JJ39" s="758"/>
      <c r="JK39" s="758"/>
      <c r="JL39" s="758"/>
      <c r="JM39" s="758"/>
      <c r="JN39" s="758"/>
      <c r="JO39" s="758"/>
      <c r="JP39" s="758"/>
      <c r="JQ39" s="758"/>
      <c r="JR39" s="758"/>
      <c r="JS39" s="758"/>
      <c r="JT39" s="758"/>
      <c r="JU39" s="758"/>
      <c r="JV39" s="758"/>
      <c r="JW39" s="758"/>
      <c r="JX39" s="758"/>
      <c r="JY39" s="758"/>
      <c r="JZ39" s="758"/>
      <c r="KA39" s="758"/>
      <c r="KB39" s="758"/>
      <c r="KC39" s="758"/>
      <c r="KD39" s="758"/>
      <c r="KE39" s="758"/>
      <c r="KF39" s="758"/>
      <c r="KG39" s="758"/>
      <c r="KH39" s="758"/>
      <c r="KI39" s="758"/>
      <c r="KJ39" s="758"/>
      <c r="KK39" s="758"/>
      <c r="KL39" s="758"/>
      <c r="KM39" s="758"/>
      <c r="KN39" s="758"/>
      <c r="KO39" s="758"/>
      <c r="KP39" s="758"/>
      <c r="KQ39" s="758"/>
      <c r="KR39" s="758"/>
      <c r="KS39" s="758"/>
      <c r="KT39" s="758"/>
      <c r="KU39" s="758"/>
      <c r="KV39" s="758"/>
      <c r="KW39" s="758"/>
      <c r="KX39" s="758"/>
      <c r="KY39" s="758"/>
      <c r="KZ39" s="758"/>
      <c r="LA39" s="758"/>
      <c r="LB39" s="758"/>
      <c r="LC39" s="758"/>
      <c r="LD39" s="758"/>
      <c r="LE39" s="758"/>
      <c r="LF39" s="758"/>
      <c r="LG39" s="758"/>
      <c r="LH39" s="758"/>
      <c r="LI39" s="758"/>
      <c r="LJ39" s="758"/>
      <c r="LK39" s="758"/>
      <c r="LL39" s="758"/>
      <c r="LM39" s="758"/>
      <c r="LN39" s="758"/>
      <c r="LO39" s="758"/>
      <c r="LP39" s="758"/>
      <c r="LQ39" s="758"/>
      <c r="LR39" s="758"/>
      <c r="LS39" s="758"/>
      <c r="LT39" s="758"/>
      <c r="LU39" s="758"/>
      <c r="LV39" s="758"/>
      <c r="LW39" s="758"/>
      <c r="LX39" s="758"/>
      <c r="LY39" s="758"/>
      <c r="LZ39" s="758"/>
      <c r="MA39" s="758"/>
      <c r="MB39" s="758"/>
      <c r="MC39" s="758"/>
      <c r="MD39" s="758"/>
      <c r="ME39" s="758"/>
      <c r="MF39" s="758"/>
      <c r="MG39" s="758"/>
      <c r="MH39" s="758"/>
      <c r="MI39" s="758"/>
      <c r="MJ39" s="758"/>
      <c r="MK39" s="758"/>
      <c r="ML39" s="758"/>
      <c r="MM39" s="758"/>
      <c r="MN39" s="758"/>
      <c r="MO39" s="758"/>
      <c r="MP39" s="758"/>
      <c r="MQ39" s="758"/>
      <c r="MR39" s="758"/>
      <c r="MS39" s="758"/>
      <c r="MT39" s="758"/>
      <c r="MU39" s="758"/>
      <c r="MV39" s="758"/>
      <c r="MW39" s="758"/>
      <c r="MX39" s="758"/>
      <c r="MY39" s="758"/>
      <c r="MZ39" s="758"/>
      <c r="NA39" s="758"/>
      <c r="NB39" s="758"/>
      <c r="NC39" s="758"/>
      <c r="ND39" s="758"/>
      <c r="NE39" s="758"/>
    </row>
    <row r="40" spans="1:369" ht="12.75" customHeight="1">
      <c r="A40" s="857"/>
      <c r="B40" s="798" t="s">
        <v>1068</v>
      </c>
      <c r="C40" s="74" t="e">
        <f>IF($C$36="N.A.","N.A.",VLOOKUP($C$17,$T$6:$W$30,4, FALSE))</f>
        <v>#N/A</v>
      </c>
      <c r="D40" s="1057" t="s">
        <v>1175</v>
      </c>
      <c r="E40" s="798"/>
      <c r="F40" s="799"/>
      <c r="G40" s="780"/>
      <c r="H40" s="780"/>
      <c r="I40" s="829"/>
      <c r="J40" s="1127" t="s">
        <v>25</v>
      </c>
      <c r="K40" s="1065" t="s">
        <v>961</v>
      </c>
      <c r="L40" s="1128" t="s">
        <v>373</v>
      </c>
      <c r="M40" s="1128" t="s">
        <v>32</v>
      </c>
      <c r="N40" s="1128" t="s">
        <v>32</v>
      </c>
      <c r="O40" s="1128" t="s">
        <v>32</v>
      </c>
      <c r="P40" s="1061" t="s">
        <v>147</v>
      </c>
      <c r="T40" s="1110"/>
      <c r="U40" s="1110"/>
      <c r="V40" s="1129"/>
      <c r="W40" s="1129"/>
      <c r="X40" s="1100"/>
      <c r="Y40" s="1088"/>
      <c r="Z40" s="1088"/>
      <c r="AA40" s="758"/>
      <c r="AB40" s="767"/>
      <c r="AC40" s="768"/>
      <c r="AD40" s="915"/>
      <c r="AE40" s="753"/>
      <c r="AF40" s="753"/>
      <c r="AG40" s="758"/>
      <c r="AH40" s="758"/>
      <c r="AP40" s="758"/>
      <c r="AQ40" s="758"/>
      <c r="AR40" s="758"/>
      <c r="AS40" s="758"/>
      <c r="AT40" s="758"/>
      <c r="AU40" s="758"/>
      <c r="AV40" s="758"/>
      <c r="AW40" s="758"/>
      <c r="AX40" s="758"/>
      <c r="AY40" s="758"/>
      <c r="AZ40" s="758"/>
      <c r="BA40" s="758"/>
      <c r="BB40" s="758"/>
      <c r="BC40" s="758"/>
      <c r="BD40" s="758"/>
      <c r="BE40" s="758"/>
      <c r="BF40" s="758"/>
      <c r="BG40" s="758"/>
      <c r="BH40" s="758"/>
      <c r="BI40" s="758"/>
      <c r="BJ40" s="758"/>
      <c r="BK40" s="758"/>
      <c r="BL40" s="758"/>
      <c r="BM40" s="758"/>
      <c r="BN40" s="758"/>
      <c r="BO40" s="758"/>
      <c r="BP40" s="758"/>
      <c r="BQ40" s="758"/>
      <c r="BR40" s="758"/>
      <c r="BS40" s="758"/>
      <c r="BT40" s="758"/>
      <c r="BU40" s="758"/>
      <c r="BV40" s="758"/>
      <c r="BW40" s="758"/>
      <c r="BX40" s="758"/>
      <c r="BY40" s="758"/>
      <c r="BZ40" s="758"/>
      <c r="CA40" s="758"/>
      <c r="CB40" s="758"/>
      <c r="CC40" s="758"/>
      <c r="CD40" s="758"/>
      <c r="CE40" s="758"/>
      <c r="CF40" s="758"/>
      <c r="CG40" s="758"/>
      <c r="CH40" s="758"/>
      <c r="CI40" s="758"/>
      <c r="CJ40" s="758"/>
      <c r="CK40" s="758"/>
      <c r="CL40" s="758"/>
      <c r="CM40" s="758"/>
      <c r="CN40" s="753"/>
      <c r="CO40" s="753"/>
      <c r="CP40" s="753"/>
      <c r="CQ40" s="753"/>
      <c r="CR40" s="753"/>
      <c r="CS40" s="753"/>
      <c r="CT40" s="753"/>
      <c r="CU40" s="753"/>
      <c r="CV40" s="753"/>
      <c r="CW40" s="753"/>
      <c r="CX40" s="753"/>
      <c r="CY40" s="753"/>
      <c r="CZ40" s="753"/>
      <c r="DA40" s="753"/>
      <c r="DB40" s="753"/>
      <c r="DC40" s="753"/>
      <c r="DD40" s="753"/>
      <c r="DE40" s="753"/>
      <c r="DF40" s="753"/>
      <c r="DG40" s="753"/>
      <c r="DH40" s="753"/>
      <c r="DI40" s="753"/>
      <c r="DJ40" s="753"/>
      <c r="DK40" s="753"/>
      <c r="DL40" s="753"/>
      <c r="DM40" s="776"/>
      <c r="DN40" s="776"/>
      <c r="DO40" s="758"/>
      <c r="DP40" s="758"/>
      <c r="DQ40" s="758"/>
      <c r="DR40" s="758"/>
      <c r="DS40" s="758"/>
      <c r="DT40" s="758"/>
      <c r="DU40" s="758"/>
      <c r="DV40" s="758"/>
      <c r="DW40" s="758"/>
      <c r="DX40" s="758"/>
      <c r="DY40" s="758"/>
      <c r="DZ40" s="758"/>
      <c r="EA40" s="758"/>
      <c r="EB40" s="758"/>
      <c r="EC40" s="758"/>
      <c r="ED40" s="758"/>
      <c r="EE40" s="758"/>
      <c r="EF40" s="758"/>
      <c r="EG40" s="758"/>
      <c r="EH40" s="758"/>
      <c r="EI40" s="758"/>
      <c r="EJ40" s="758"/>
      <c r="EK40" s="758"/>
      <c r="EL40" s="758"/>
      <c r="EM40" s="758"/>
      <c r="EN40" s="758"/>
      <c r="EO40" s="758"/>
      <c r="EP40" s="758"/>
      <c r="EQ40" s="758"/>
      <c r="ER40" s="758"/>
      <c r="ES40" s="758"/>
      <c r="ET40" s="758"/>
      <c r="EU40" s="758"/>
      <c r="EV40" s="758"/>
      <c r="EW40" s="758"/>
      <c r="EX40" s="758"/>
      <c r="EY40" s="758"/>
      <c r="EZ40" s="758"/>
      <c r="FA40" s="758"/>
      <c r="FB40" s="758"/>
      <c r="FC40" s="758"/>
      <c r="FD40" s="758"/>
      <c r="FE40" s="758"/>
      <c r="FF40" s="758"/>
      <c r="FG40" s="758"/>
      <c r="FH40" s="758"/>
      <c r="FI40" s="758"/>
      <c r="FJ40" s="758"/>
      <c r="FK40" s="758"/>
      <c r="FL40" s="758"/>
      <c r="FM40" s="758"/>
      <c r="FN40" s="758"/>
      <c r="FO40" s="758"/>
      <c r="FP40" s="758"/>
      <c r="FQ40" s="758"/>
      <c r="FR40" s="758"/>
      <c r="FS40" s="758"/>
      <c r="FT40" s="758"/>
      <c r="FU40" s="758"/>
      <c r="FV40" s="758"/>
      <c r="FW40" s="758"/>
      <c r="FX40" s="758"/>
      <c r="FY40" s="758"/>
      <c r="FZ40" s="758"/>
      <c r="GA40" s="758"/>
      <c r="GB40" s="758"/>
      <c r="GC40" s="758"/>
      <c r="GD40" s="758"/>
      <c r="GE40" s="758"/>
      <c r="GF40" s="758"/>
      <c r="GG40" s="758"/>
      <c r="GH40" s="758"/>
      <c r="GI40" s="758"/>
      <c r="GJ40" s="758"/>
      <c r="GK40" s="758"/>
      <c r="GL40" s="758"/>
      <c r="GM40" s="758"/>
      <c r="GN40" s="758"/>
      <c r="GO40" s="758"/>
      <c r="GP40" s="758"/>
      <c r="GQ40" s="758"/>
      <c r="GR40" s="758"/>
      <c r="GS40" s="758"/>
      <c r="GT40" s="758"/>
      <c r="GU40" s="758"/>
      <c r="GV40" s="758"/>
      <c r="GW40" s="758"/>
      <c r="GX40" s="758"/>
      <c r="GY40" s="758"/>
      <c r="GZ40" s="758"/>
      <c r="HA40" s="758"/>
      <c r="HB40" s="758"/>
      <c r="HC40" s="758"/>
      <c r="HD40" s="758"/>
      <c r="HE40" s="758"/>
      <c r="HF40" s="758"/>
      <c r="HG40" s="758"/>
      <c r="HH40" s="758"/>
      <c r="HI40" s="758"/>
      <c r="HJ40" s="758"/>
      <c r="HK40" s="758"/>
      <c r="HL40" s="758"/>
      <c r="HM40" s="758"/>
      <c r="HN40" s="758"/>
      <c r="HO40" s="758"/>
      <c r="HP40" s="758"/>
      <c r="HQ40" s="758"/>
      <c r="HR40" s="758"/>
      <c r="HS40" s="758"/>
      <c r="HT40" s="758"/>
      <c r="HU40" s="758"/>
      <c r="HV40" s="758"/>
      <c r="HW40" s="758"/>
      <c r="HX40" s="758"/>
      <c r="HY40" s="758"/>
      <c r="HZ40" s="758"/>
      <c r="IA40" s="758"/>
      <c r="IB40" s="758"/>
      <c r="IC40" s="758"/>
      <c r="ID40" s="758"/>
      <c r="IE40" s="758"/>
      <c r="IF40" s="758"/>
      <c r="IG40" s="758"/>
      <c r="IH40" s="758"/>
      <c r="II40" s="758"/>
      <c r="IJ40" s="758"/>
      <c r="IK40" s="758"/>
      <c r="IL40" s="758"/>
      <c r="IM40" s="758"/>
      <c r="IN40" s="758"/>
      <c r="IO40" s="758"/>
      <c r="IP40" s="758"/>
      <c r="IQ40" s="758"/>
      <c r="IR40" s="758"/>
      <c r="IS40" s="758"/>
      <c r="IT40" s="758"/>
      <c r="IU40" s="758"/>
      <c r="IV40" s="758"/>
      <c r="IW40" s="758"/>
      <c r="IX40" s="758"/>
      <c r="IY40" s="758"/>
      <c r="IZ40" s="758"/>
      <c r="JA40" s="758"/>
      <c r="JB40" s="758"/>
      <c r="JC40" s="758"/>
      <c r="JD40" s="758"/>
      <c r="JE40" s="758"/>
      <c r="JF40" s="758"/>
      <c r="JG40" s="758"/>
      <c r="JH40" s="758"/>
      <c r="JI40" s="758"/>
      <c r="JJ40" s="758"/>
      <c r="JK40" s="758"/>
      <c r="JL40" s="758"/>
      <c r="JM40" s="758"/>
      <c r="JN40" s="758"/>
      <c r="JO40" s="758"/>
      <c r="JP40" s="758"/>
      <c r="JQ40" s="758"/>
      <c r="JR40" s="758"/>
      <c r="JS40" s="758"/>
      <c r="JT40" s="758"/>
      <c r="JU40" s="758"/>
      <c r="JV40" s="758"/>
      <c r="JW40" s="758"/>
      <c r="JX40" s="758"/>
      <c r="JY40" s="758"/>
      <c r="JZ40" s="758"/>
      <c r="KA40" s="758"/>
      <c r="KB40" s="758"/>
      <c r="KC40" s="758"/>
      <c r="KD40" s="758"/>
      <c r="KE40" s="758"/>
      <c r="KF40" s="758"/>
      <c r="KG40" s="758"/>
      <c r="KH40" s="758"/>
      <c r="KI40" s="758"/>
      <c r="KJ40" s="758"/>
      <c r="KK40" s="758"/>
      <c r="KL40" s="758"/>
      <c r="KM40" s="758"/>
      <c r="KN40" s="758"/>
      <c r="KO40" s="758"/>
      <c r="KP40" s="758"/>
      <c r="KQ40" s="758"/>
      <c r="KR40" s="758"/>
      <c r="KS40" s="758"/>
      <c r="KT40" s="758"/>
      <c r="KU40" s="758"/>
      <c r="KV40" s="758"/>
      <c r="KW40" s="758"/>
      <c r="KX40" s="758"/>
      <c r="KY40" s="758"/>
      <c r="KZ40" s="758"/>
      <c r="LA40" s="758"/>
      <c r="LB40" s="758"/>
      <c r="LC40" s="758"/>
      <c r="LD40" s="758"/>
      <c r="LE40" s="758"/>
      <c r="LF40" s="758"/>
      <c r="LG40" s="758"/>
      <c r="LH40" s="758"/>
      <c r="LI40" s="758"/>
      <c r="LJ40" s="758"/>
      <c r="LK40" s="758"/>
      <c r="LL40" s="758"/>
      <c r="LM40" s="758"/>
      <c r="LN40" s="758"/>
      <c r="LO40" s="758"/>
      <c r="LP40" s="758"/>
      <c r="LQ40" s="758"/>
      <c r="LR40" s="758"/>
      <c r="LS40" s="758"/>
      <c r="LT40" s="758"/>
      <c r="LU40" s="758"/>
      <c r="LV40" s="758"/>
      <c r="LW40" s="758"/>
      <c r="LX40" s="758"/>
      <c r="LY40" s="758"/>
      <c r="LZ40" s="758"/>
      <c r="MA40" s="758"/>
      <c r="MB40" s="758"/>
      <c r="MC40" s="758"/>
      <c r="MD40" s="758"/>
      <c r="ME40" s="758"/>
      <c r="MF40" s="758"/>
      <c r="MG40" s="758"/>
      <c r="MH40" s="758"/>
      <c r="MI40" s="758"/>
      <c r="MJ40" s="758"/>
      <c r="MK40" s="758"/>
      <c r="ML40" s="758"/>
      <c r="MM40" s="758"/>
      <c r="MN40" s="758"/>
      <c r="MO40" s="758"/>
      <c r="MP40" s="758"/>
      <c r="MQ40" s="758"/>
      <c r="MR40" s="758"/>
      <c r="MS40" s="758"/>
      <c r="MT40" s="758"/>
      <c r="MU40" s="758"/>
      <c r="MV40" s="758"/>
      <c r="MW40" s="758"/>
      <c r="MX40" s="758"/>
      <c r="MY40" s="758"/>
      <c r="MZ40" s="758"/>
      <c r="NA40" s="758"/>
      <c r="NB40" s="758"/>
      <c r="NC40" s="758"/>
      <c r="ND40" s="758"/>
      <c r="NE40" s="758"/>
    </row>
    <row r="41" spans="1:369" ht="12.75" customHeight="1">
      <c r="A41" s="857"/>
      <c r="B41" s="780"/>
      <c r="C41" s="89"/>
      <c r="D41" s="780"/>
      <c r="E41" s="780"/>
      <c r="F41" s="780"/>
      <c r="G41" s="780"/>
      <c r="H41" s="780"/>
      <c r="I41" s="829"/>
      <c r="J41" s="1127" t="s">
        <v>25</v>
      </c>
      <c r="K41" s="1065" t="s">
        <v>1061</v>
      </c>
      <c r="L41" s="1090" t="s">
        <v>56</v>
      </c>
      <c r="M41" s="1061" t="str">
        <f>IF(OR($M$23="III",$M$23="IV"),"",IF($C$31&lt;0.067,"A",IF(AND($C$31&gt;=0.067,$C$31&lt;0.133),"B",IF(AND($C$31&gt;=0.133,$C$31&lt;0.2),"C",IF(AND($C$31&gt;=0.2,$C$12&lt;0.75),"D",IF((AND($C$31&gt;=0.2,$C$12&gt;=0.75)),"E"))))))</f>
        <v/>
      </c>
      <c r="N41" s="1061" t="str">
        <f>IF(OR($M$23="I",$M$23="II",$M$23="IV"),"",IF($C$31&lt;0.067,"A",IF(AND($C$31&gt;=0.067,$C$31&lt;0.133),"B",IF(AND($C$31&gt;=0.133,$C$31&lt;0.2),"C",IF(AND($C$31&gt;=0.2,$C$12&lt;0.75),"D",IF((AND($C$31&gt;=0.2,$C$12&gt;=0.75)),"E"))))))</f>
        <v>D</v>
      </c>
      <c r="O41" s="1061" t="str">
        <f>IF(OR($M$23="I",$M$23="II",$M$23="III"),"",IF($C$31&lt;0.067,"A",IF(AND($C$31&gt;=0.067,$C$31&lt;0.133),"C",IF(AND($C$31&gt;=0.133,$C$31&lt;0.2),"D",IF(AND($C$31&gt;=0.2,$C$12&lt;0.75),"D",IF((AND($C$31&gt;=0.2,$C$12&gt;=0.75)),"F"))))))</f>
        <v/>
      </c>
      <c r="P41" s="1090">
        <f>IF($C$35="A",1,IF($C$35="B",2,IF($C$35="C",3,IF($C$35="D",4,IF($C$35="E",5,IF($C$35="F",6))))))</f>
        <v>4</v>
      </c>
      <c r="T41" s="1110"/>
      <c r="U41" s="1110"/>
      <c r="V41" s="1129"/>
      <c r="W41" s="1129"/>
      <c r="X41" s="1100"/>
      <c r="Y41" s="1088"/>
      <c r="Z41" s="1088"/>
      <c r="AA41" s="758"/>
      <c r="AB41" s="770"/>
      <c r="AC41" s="753"/>
      <c r="AD41" s="753"/>
      <c r="AE41" s="753"/>
      <c r="AF41" s="753"/>
      <c r="AG41" s="758"/>
      <c r="AH41" s="758"/>
      <c r="AI41" s="1032" t="s">
        <v>104</v>
      </c>
      <c r="AJ41" s="1031"/>
      <c r="AK41" s="1031"/>
      <c r="AL41" s="1031"/>
      <c r="AM41" s="1031"/>
      <c r="AN41" s="1031"/>
      <c r="AO41" s="1031"/>
      <c r="AP41" s="758"/>
      <c r="AQ41" s="758"/>
      <c r="AR41" s="758"/>
      <c r="AS41" s="758"/>
      <c r="AT41" s="758"/>
      <c r="AU41" s="758"/>
      <c r="AV41" s="758"/>
      <c r="AW41" s="758"/>
      <c r="AX41" s="758"/>
      <c r="AY41" s="758"/>
      <c r="AZ41" s="758"/>
      <c r="BA41" s="758"/>
      <c r="BB41" s="758"/>
      <c r="BC41" s="758"/>
      <c r="BD41" s="758"/>
      <c r="BE41" s="758"/>
      <c r="BF41" s="758"/>
      <c r="BG41" s="758"/>
      <c r="BH41" s="758"/>
      <c r="BI41" s="758"/>
      <c r="BJ41" s="758"/>
      <c r="BK41" s="758"/>
      <c r="BL41" s="758"/>
      <c r="BM41" s="758"/>
      <c r="BN41" s="758"/>
      <c r="BO41" s="758"/>
      <c r="BP41" s="758"/>
      <c r="BQ41" s="758"/>
      <c r="BR41" s="758"/>
      <c r="BS41" s="758"/>
      <c r="BT41" s="758"/>
      <c r="BU41" s="758"/>
      <c r="BV41" s="758"/>
      <c r="BW41" s="758"/>
      <c r="BX41" s="758"/>
      <c r="BY41" s="758"/>
      <c r="BZ41" s="758"/>
      <c r="CA41" s="758"/>
      <c r="CB41" s="758"/>
      <c r="CC41" s="758"/>
      <c r="CD41" s="758"/>
      <c r="CE41" s="758"/>
      <c r="CF41" s="758"/>
      <c r="CG41" s="758"/>
      <c r="CH41" s="758"/>
      <c r="CI41" s="758"/>
      <c r="CJ41" s="758"/>
      <c r="CK41" s="758"/>
      <c r="CL41" s="758"/>
      <c r="CM41" s="758"/>
      <c r="CN41" s="753"/>
      <c r="CO41" s="753"/>
      <c r="CP41" s="753"/>
      <c r="CQ41" s="753"/>
      <c r="CR41" s="753"/>
      <c r="CS41" s="753"/>
      <c r="CT41" s="753"/>
      <c r="CU41" s="753"/>
      <c r="CV41" s="753"/>
      <c r="CW41" s="753"/>
      <c r="CX41" s="753"/>
      <c r="CY41" s="753"/>
      <c r="CZ41" s="753"/>
      <c r="DA41" s="753"/>
      <c r="DB41" s="753"/>
      <c r="DC41" s="753"/>
      <c r="DD41" s="753"/>
      <c r="DE41" s="753"/>
      <c r="DF41" s="753"/>
      <c r="DG41" s="753"/>
      <c r="DH41" s="753"/>
      <c r="DI41" s="753"/>
      <c r="DJ41" s="753"/>
      <c r="DK41" s="753"/>
      <c r="DL41" s="753"/>
      <c r="DM41" s="776"/>
      <c r="DN41" s="776"/>
      <c r="DO41" s="758"/>
      <c r="DP41" s="758"/>
      <c r="DQ41" s="758"/>
      <c r="DR41" s="758"/>
      <c r="DS41" s="758"/>
      <c r="DT41" s="758"/>
      <c r="DU41" s="758"/>
      <c r="DV41" s="758"/>
      <c r="DW41" s="758"/>
      <c r="DX41" s="758"/>
      <c r="DY41" s="758"/>
      <c r="DZ41" s="758"/>
      <c r="EA41" s="758"/>
      <c r="EB41" s="758"/>
      <c r="EC41" s="758"/>
      <c r="ED41" s="758"/>
      <c r="EE41" s="758"/>
      <c r="EF41" s="758"/>
      <c r="EG41" s="758"/>
      <c r="EH41" s="758"/>
      <c r="EI41" s="758"/>
      <c r="EJ41" s="758"/>
      <c r="EK41" s="758"/>
      <c r="EL41" s="758"/>
      <c r="EM41" s="758"/>
      <c r="EN41" s="758"/>
      <c r="EO41" s="758"/>
      <c r="EP41" s="758"/>
      <c r="EQ41" s="758"/>
      <c r="ER41" s="758"/>
      <c r="ES41" s="758"/>
      <c r="ET41" s="758"/>
      <c r="EU41" s="758"/>
      <c r="EV41" s="758"/>
      <c r="EW41" s="758"/>
      <c r="EX41" s="758"/>
      <c r="EY41" s="758"/>
      <c r="EZ41" s="758"/>
      <c r="FA41" s="758"/>
      <c r="FB41" s="758"/>
      <c r="FC41" s="758"/>
      <c r="FD41" s="758"/>
      <c r="FE41" s="758"/>
      <c r="FF41" s="758"/>
      <c r="FG41" s="758"/>
      <c r="FH41" s="758"/>
      <c r="FI41" s="758"/>
      <c r="FJ41" s="758"/>
      <c r="FK41" s="758"/>
      <c r="FL41" s="758"/>
      <c r="FM41" s="758"/>
      <c r="FN41" s="758"/>
      <c r="FO41" s="758"/>
      <c r="FP41" s="758"/>
      <c r="FQ41" s="758"/>
      <c r="FR41" s="758"/>
      <c r="FS41" s="758"/>
      <c r="FT41" s="758"/>
      <c r="FU41" s="758"/>
      <c r="FV41" s="758"/>
      <c r="FW41" s="758"/>
      <c r="FX41" s="758"/>
      <c r="FY41" s="758"/>
      <c r="FZ41" s="758"/>
      <c r="GA41" s="758"/>
      <c r="GB41" s="758"/>
      <c r="GC41" s="758"/>
      <c r="GD41" s="758"/>
      <c r="GE41" s="758"/>
      <c r="GF41" s="758"/>
      <c r="GG41" s="758"/>
      <c r="GH41" s="758"/>
      <c r="GI41" s="758"/>
      <c r="GJ41" s="758"/>
      <c r="GK41" s="758"/>
      <c r="GL41" s="758"/>
      <c r="GM41" s="758"/>
      <c r="GN41" s="758"/>
      <c r="GO41" s="758"/>
      <c r="GP41" s="758"/>
      <c r="GQ41" s="758"/>
      <c r="GR41" s="758"/>
      <c r="GS41" s="758"/>
      <c r="GT41" s="758"/>
      <c r="GU41" s="758"/>
      <c r="GV41" s="758"/>
      <c r="GW41" s="758"/>
      <c r="GX41" s="758"/>
      <c r="GY41" s="758"/>
      <c r="GZ41" s="758"/>
      <c r="HA41" s="758"/>
      <c r="HB41" s="758"/>
      <c r="HC41" s="758"/>
      <c r="HD41" s="758"/>
      <c r="HE41" s="758"/>
      <c r="HF41" s="758"/>
      <c r="HG41" s="758"/>
      <c r="HH41" s="758"/>
      <c r="HI41" s="758"/>
      <c r="HJ41" s="758"/>
      <c r="HK41" s="758"/>
      <c r="HL41" s="758"/>
      <c r="HM41" s="758"/>
      <c r="HN41" s="758"/>
      <c r="HO41" s="758"/>
      <c r="HP41" s="758"/>
      <c r="HQ41" s="758"/>
      <c r="HR41" s="758"/>
      <c r="HS41" s="758"/>
      <c r="HT41" s="758"/>
      <c r="HU41" s="758"/>
      <c r="HV41" s="758"/>
      <c r="HW41" s="758"/>
      <c r="HX41" s="758"/>
      <c r="HY41" s="758"/>
      <c r="HZ41" s="758"/>
      <c r="IA41" s="758"/>
      <c r="IB41" s="758"/>
      <c r="IC41" s="758"/>
      <c r="ID41" s="758"/>
      <c r="IE41" s="758"/>
      <c r="IF41" s="758"/>
      <c r="IG41" s="758"/>
      <c r="IH41" s="758"/>
      <c r="II41" s="758"/>
      <c r="IJ41" s="758"/>
      <c r="IK41" s="758"/>
      <c r="IL41" s="758"/>
      <c r="IM41" s="758"/>
      <c r="IN41" s="758"/>
      <c r="IO41" s="758"/>
      <c r="IP41" s="758"/>
      <c r="IQ41" s="758"/>
      <c r="IR41" s="758"/>
      <c r="IS41" s="758"/>
      <c r="IT41" s="758"/>
      <c r="IU41" s="758"/>
      <c r="IV41" s="758"/>
      <c r="IW41" s="758"/>
      <c r="IX41" s="758"/>
      <c r="IY41" s="758"/>
      <c r="IZ41" s="758"/>
      <c r="JA41" s="758"/>
      <c r="JB41" s="758"/>
      <c r="JC41" s="758"/>
      <c r="JD41" s="758"/>
      <c r="JE41" s="758"/>
      <c r="JF41" s="758"/>
      <c r="JG41" s="758"/>
      <c r="JH41" s="758"/>
      <c r="JI41" s="758"/>
      <c r="JJ41" s="758"/>
      <c r="JK41" s="758"/>
      <c r="JL41" s="758"/>
      <c r="JM41" s="758"/>
      <c r="JN41" s="758"/>
      <c r="JO41" s="758"/>
      <c r="JP41" s="758"/>
      <c r="JQ41" s="758"/>
      <c r="JR41" s="758"/>
      <c r="JS41" s="758"/>
      <c r="JT41" s="758"/>
      <c r="JU41" s="758"/>
      <c r="JV41" s="758"/>
      <c r="JW41" s="758"/>
      <c r="JX41" s="758"/>
      <c r="JY41" s="758"/>
      <c r="JZ41" s="758"/>
      <c r="KA41" s="758"/>
      <c r="KB41" s="758"/>
      <c r="KC41" s="758"/>
      <c r="KD41" s="758"/>
      <c r="KE41" s="758"/>
      <c r="KF41" s="758"/>
      <c r="KG41" s="758"/>
      <c r="KH41" s="758"/>
      <c r="KI41" s="758"/>
      <c r="KJ41" s="758"/>
      <c r="KK41" s="758"/>
      <c r="KL41" s="758"/>
      <c r="KM41" s="758"/>
      <c r="KN41" s="758"/>
      <c r="KO41" s="758"/>
      <c r="KP41" s="758"/>
      <c r="KQ41" s="758"/>
      <c r="KR41" s="758"/>
      <c r="KS41" s="758"/>
      <c r="KT41" s="758"/>
      <c r="KU41" s="758"/>
      <c r="KV41" s="758"/>
      <c r="KW41" s="758"/>
      <c r="KX41" s="758"/>
      <c r="KY41" s="758"/>
      <c r="KZ41" s="758"/>
      <c r="LA41" s="758"/>
      <c r="LB41" s="758"/>
      <c r="LC41" s="758"/>
      <c r="LD41" s="758"/>
      <c r="LE41" s="758"/>
      <c r="LF41" s="758"/>
      <c r="LG41" s="758"/>
      <c r="LH41" s="758"/>
      <c r="LI41" s="758"/>
      <c r="LJ41" s="758"/>
      <c r="LK41" s="758"/>
      <c r="LL41" s="758"/>
      <c r="LM41" s="758"/>
      <c r="LN41" s="758"/>
      <c r="LO41" s="758"/>
      <c r="LP41" s="758"/>
      <c r="LQ41" s="758"/>
      <c r="LR41" s="758"/>
      <c r="LS41" s="758"/>
      <c r="LT41" s="758"/>
      <c r="LU41" s="758"/>
      <c r="LV41" s="758"/>
      <c r="LW41" s="758"/>
      <c r="LX41" s="758"/>
      <c r="LY41" s="758"/>
      <c r="LZ41" s="758"/>
      <c r="MA41" s="758"/>
      <c r="MB41" s="758"/>
      <c r="MC41" s="758"/>
      <c r="MD41" s="758"/>
      <c r="ME41" s="758"/>
      <c r="MF41" s="758"/>
      <c r="MG41" s="758"/>
      <c r="MH41" s="758"/>
      <c r="MI41" s="758"/>
      <c r="MJ41" s="758"/>
      <c r="MK41" s="758"/>
      <c r="ML41" s="758"/>
      <c r="MM41" s="758"/>
      <c r="MN41" s="758"/>
      <c r="MO41" s="758"/>
      <c r="MP41" s="758"/>
      <c r="MQ41" s="758"/>
      <c r="MR41" s="758"/>
      <c r="MS41" s="758"/>
      <c r="MT41" s="758"/>
      <c r="MU41" s="758"/>
      <c r="MV41" s="758"/>
      <c r="MW41" s="758"/>
      <c r="MX41" s="758"/>
      <c r="MY41" s="758"/>
      <c r="MZ41" s="758"/>
      <c r="NA41" s="758"/>
      <c r="NB41" s="758"/>
      <c r="NC41" s="758"/>
      <c r="ND41" s="758"/>
      <c r="NE41" s="758"/>
    </row>
    <row r="42" spans="1:369" ht="12.75" customHeight="1">
      <c r="A42" s="854" t="s">
        <v>1072</v>
      </c>
      <c r="B42" s="780"/>
      <c r="C42" s="89"/>
      <c r="D42" s="780"/>
      <c r="E42" s="780"/>
      <c r="F42" s="780"/>
      <c r="G42" s="773"/>
      <c r="H42" s="773"/>
      <c r="I42" s="836"/>
      <c r="J42" s="1127" t="s">
        <v>25</v>
      </c>
      <c r="K42" s="1065" t="s">
        <v>963</v>
      </c>
      <c r="N42" s="1090"/>
      <c r="O42" s="1104" t="s">
        <v>161</v>
      </c>
      <c r="P42" s="1090">
        <f>MAX($P$32,$P$41)</f>
        <v>4</v>
      </c>
      <c r="T42" s="1110"/>
      <c r="U42" s="1110"/>
      <c r="V42" s="1129"/>
      <c r="W42" s="1129"/>
      <c r="X42" s="1100"/>
      <c r="Y42" s="1088"/>
      <c r="Z42" s="1088"/>
      <c r="AA42" s="758"/>
      <c r="AB42" s="767"/>
      <c r="AC42" s="768"/>
      <c r="AD42" s="753"/>
      <c r="AE42" s="753"/>
      <c r="AF42" s="753"/>
      <c r="AG42" s="758"/>
      <c r="AH42" s="758"/>
      <c r="AI42" s="1033" t="s">
        <v>1069</v>
      </c>
      <c r="AJ42" s="841" t="s">
        <v>1070</v>
      </c>
      <c r="AK42" s="1031"/>
      <c r="AL42" s="1031"/>
      <c r="AM42" s="1031"/>
      <c r="AN42" s="1031"/>
      <c r="AO42" s="1031"/>
      <c r="AP42" s="758"/>
      <c r="AQ42" s="758"/>
      <c r="AR42" s="758"/>
      <c r="AS42" s="758"/>
      <c r="AT42" s="758"/>
      <c r="AU42" s="758"/>
      <c r="AV42" s="758"/>
      <c r="AW42" s="758"/>
      <c r="AX42" s="758"/>
      <c r="AY42" s="758"/>
      <c r="AZ42" s="758"/>
      <c r="BA42" s="758"/>
      <c r="BB42" s="758"/>
      <c r="BC42" s="758"/>
      <c r="BD42" s="758"/>
      <c r="BE42" s="758"/>
      <c r="BF42" s="758"/>
      <c r="BG42" s="758"/>
      <c r="BH42" s="758"/>
      <c r="BI42" s="758"/>
      <c r="BJ42" s="758"/>
      <c r="BK42" s="758"/>
      <c r="BL42" s="758"/>
      <c r="BM42" s="758"/>
      <c r="BN42" s="758"/>
      <c r="BO42" s="758"/>
      <c r="BP42" s="758"/>
      <c r="BQ42" s="758"/>
      <c r="BR42" s="758"/>
      <c r="BS42" s="758"/>
      <c r="BT42" s="758"/>
      <c r="BU42" s="758"/>
      <c r="BV42" s="758"/>
      <c r="BW42" s="758"/>
      <c r="BX42" s="758"/>
      <c r="BY42" s="758"/>
      <c r="BZ42" s="758"/>
      <c r="CA42" s="758"/>
      <c r="CB42" s="758"/>
      <c r="CC42" s="758"/>
      <c r="CD42" s="758"/>
      <c r="CE42" s="758"/>
      <c r="CF42" s="758"/>
      <c r="CG42" s="758"/>
      <c r="CH42" s="758"/>
      <c r="CI42" s="758"/>
      <c r="CJ42" s="758"/>
      <c r="CK42" s="758"/>
      <c r="CL42" s="758"/>
      <c r="CM42" s="758"/>
      <c r="CN42" s="753"/>
      <c r="CO42" s="753"/>
      <c r="CP42" s="753"/>
      <c r="CQ42" s="753"/>
      <c r="CR42" s="753"/>
      <c r="CS42" s="753"/>
      <c r="CT42" s="753"/>
      <c r="CU42" s="753"/>
      <c r="CV42" s="753"/>
      <c r="CW42" s="753"/>
      <c r="CX42" s="753"/>
      <c r="CY42" s="753"/>
      <c r="CZ42" s="753"/>
      <c r="DA42" s="753"/>
      <c r="DB42" s="753"/>
      <c r="DC42" s="753"/>
      <c r="DD42" s="753"/>
      <c r="DE42" s="753"/>
      <c r="DF42" s="753"/>
      <c r="DG42" s="753"/>
      <c r="DH42" s="753"/>
      <c r="DI42" s="753"/>
      <c r="DJ42" s="753"/>
      <c r="DK42" s="753"/>
      <c r="DL42" s="753"/>
      <c r="DM42" s="776"/>
      <c r="DN42" s="776"/>
      <c r="DO42" s="758"/>
      <c r="DP42" s="758"/>
      <c r="DQ42" s="758"/>
      <c r="DR42" s="758"/>
      <c r="DS42" s="758"/>
      <c r="DT42" s="758"/>
      <c r="DU42" s="758"/>
      <c r="DV42" s="758"/>
      <c r="DW42" s="758"/>
      <c r="DX42" s="758"/>
      <c r="DY42" s="758"/>
      <c r="DZ42" s="758"/>
      <c r="EA42" s="758"/>
      <c r="EB42" s="758"/>
      <c r="EC42" s="758"/>
      <c r="ED42" s="758"/>
      <c r="EE42" s="758"/>
      <c r="EF42" s="758"/>
      <c r="EG42" s="758"/>
      <c r="EH42" s="758"/>
      <c r="EI42" s="758"/>
      <c r="EJ42" s="758"/>
      <c r="EK42" s="758"/>
      <c r="EL42" s="758"/>
      <c r="EM42" s="758"/>
      <c r="EN42" s="758"/>
      <c r="EO42" s="758"/>
      <c r="EP42" s="758"/>
      <c r="EQ42" s="758"/>
      <c r="ER42" s="758"/>
      <c r="ES42" s="758"/>
      <c r="ET42" s="758"/>
      <c r="EU42" s="758"/>
      <c r="EV42" s="758"/>
      <c r="EW42" s="758"/>
      <c r="EX42" s="758"/>
      <c r="EY42" s="758"/>
      <c r="EZ42" s="758"/>
      <c r="FA42" s="758"/>
      <c r="FB42" s="758"/>
      <c r="FC42" s="758"/>
      <c r="FD42" s="758"/>
      <c r="FE42" s="758"/>
      <c r="FF42" s="758"/>
      <c r="FG42" s="758"/>
      <c r="FH42" s="758"/>
      <c r="FI42" s="758"/>
      <c r="FJ42" s="758"/>
      <c r="FK42" s="758"/>
      <c r="FL42" s="758"/>
      <c r="FM42" s="758"/>
      <c r="FN42" s="758"/>
      <c r="FO42" s="758"/>
      <c r="FP42" s="758"/>
      <c r="FQ42" s="758"/>
      <c r="FR42" s="758"/>
      <c r="FS42" s="758"/>
      <c r="FT42" s="758"/>
      <c r="FU42" s="758"/>
      <c r="FV42" s="758"/>
      <c r="FW42" s="758"/>
      <c r="FX42" s="758"/>
      <c r="FY42" s="758"/>
      <c r="FZ42" s="758"/>
      <c r="GA42" s="758"/>
      <c r="GB42" s="758"/>
      <c r="GC42" s="758"/>
      <c r="GD42" s="758"/>
      <c r="GE42" s="758"/>
      <c r="GF42" s="758"/>
      <c r="GG42" s="758"/>
      <c r="GH42" s="758"/>
      <c r="GI42" s="758"/>
      <c r="GJ42" s="758"/>
      <c r="GK42" s="758"/>
      <c r="GL42" s="758"/>
      <c r="GM42" s="758"/>
      <c r="GN42" s="758"/>
      <c r="GO42" s="758"/>
      <c r="GP42" s="758"/>
      <c r="GQ42" s="758"/>
      <c r="GR42" s="758"/>
      <c r="GS42" s="758"/>
      <c r="GT42" s="758"/>
      <c r="GU42" s="758"/>
      <c r="GV42" s="758"/>
      <c r="GW42" s="758"/>
      <c r="GX42" s="758"/>
      <c r="GY42" s="758"/>
      <c r="GZ42" s="758"/>
      <c r="HA42" s="758"/>
      <c r="HB42" s="758"/>
      <c r="HC42" s="758"/>
      <c r="HD42" s="758"/>
      <c r="HE42" s="758"/>
      <c r="HF42" s="758"/>
      <c r="HG42" s="758"/>
      <c r="HH42" s="758"/>
      <c r="HI42" s="758"/>
      <c r="HJ42" s="758"/>
      <c r="HK42" s="758"/>
      <c r="HL42" s="758"/>
      <c r="HM42" s="758"/>
      <c r="HN42" s="758"/>
      <c r="HO42" s="758"/>
      <c r="HP42" s="758"/>
      <c r="HQ42" s="758"/>
      <c r="HR42" s="758"/>
      <c r="HS42" s="758"/>
      <c r="HT42" s="758"/>
      <c r="HU42" s="758"/>
      <c r="HV42" s="758"/>
      <c r="HW42" s="758"/>
      <c r="HX42" s="758"/>
      <c r="HY42" s="758"/>
      <c r="HZ42" s="758"/>
      <c r="IA42" s="758"/>
      <c r="IB42" s="758"/>
      <c r="IC42" s="758"/>
      <c r="ID42" s="758"/>
      <c r="IE42" s="758"/>
      <c r="IF42" s="758"/>
      <c r="IG42" s="758"/>
      <c r="IH42" s="758"/>
      <c r="II42" s="758"/>
      <c r="IJ42" s="758"/>
      <c r="IK42" s="758"/>
      <c r="IL42" s="758"/>
      <c r="IM42" s="758"/>
      <c r="IN42" s="758"/>
      <c r="IO42" s="758"/>
      <c r="IP42" s="758"/>
      <c r="IQ42" s="758"/>
      <c r="IR42" s="758"/>
      <c r="IS42" s="758"/>
      <c r="IT42" s="758"/>
      <c r="IU42" s="758"/>
      <c r="IV42" s="758"/>
      <c r="IW42" s="758"/>
      <c r="IX42" s="758"/>
      <c r="IY42" s="758"/>
      <c r="IZ42" s="758"/>
      <c r="JA42" s="758"/>
      <c r="JB42" s="758"/>
      <c r="JC42" s="758"/>
      <c r="JD42" s="758"/>
      <c r="JE42" s="758"/>
      <c r="JF42" s="758"/>
      <c r="JG42" s="758"/>
      <c r="JH42" s="758"/>
      <c r="JI42" s="758"/>
      <c r="JJ42" s="758"/>
      <c r="JK42" s="758"/>
      <c r="JL42" s="758"/>
      <c r="JM42" s="758"/>
      <c r="JN42" s="758"/>
      <c r="JO42" s="758"/>
      <c r="JP42" s="758"/>
      <c r="JQ42" s="758"/>
      <c r="JR42" s="758"/>
      <c r="JS42" s="758"/>
      <c r="JT42" s="758"/>
      <c r="JU42" s="758"/>
      <c r="JV42" s="758"/>
      <c r="JW42" s="758"/>
      <c r="JX42" s="758"/>
      <c r="JY42" s="758"/>
      <c r="JZ42" s="758"/>
      <c r="KA42" s="758"/>
      <c r="KB42" s="758"/>
      <c r="KC42" s="758"/>
      <c r="KD42" s="758"/>
      <c r="KE42" s="758"/>
      <c r="KF42" s="758"/>
      <c r="KG42" s="758"/>
      <c r="KH42" s="758"/>
      <c r="KI42" s="758"/>
      <c r="KJ42" s="758"/>
      <c r="KK42" s="758"/>
      <c r="KL42" s="758"/>
      <c r="KM42" s="758"/>
      <c r="KN42" s="758"/>
      <c r="KO42" s="758"/>
      <c r="KP42" s="758"/>
      <c r="KQ42" s="758"/>
      <c r="KR42" s="758"/>
      <c r="KS42" s="758"/>
      <c r="KT42" s="758"/>
      <c r="KU42" s="758"/>
      <c r="KV42" s="758"/>
      <c r="KW42" s="758"/>
      <c r="KX42" s="758"/>
      <c r="KY42" s="758"/>
      <c r="KZ42" s="758"/>
      <c r="LA42" s="758"/>
      <c r="LB42" s="758"/>
      <c r="LC42" s="758"/>
      <c r="LD42" s="758"/>
      <c r="LE42" s="758"/>
      <c r="LF42" s="758"/>
      <c r="LG42" s="758"/>
      <c r="LH42" s="758"/>
      <c r="LI42" s="758"/>
      <c r="LJ42" s="758"/>
      <c r="LK42" s="758"/>
      <c r="LL42" s="758"/>
      <c r="LM42" s="758"/>
      <c r="LN42" s="758"/>
      <c r="LO42" s="758"/>
      <c r="LP42" s="758"/>
      <c r="LQ42" s="758"/>
      <c r="LR42" s="758"/>
      <c r="LS42" s="758"/>
      <c r="LT42" s="758"/>
      <c r="LU42" s="758"/>
      <c r="LV42" s="758"/>
      <c r="LW42" s="758"/>
      <c r="LX42" s="758"/>
      <c r="LY42" s="758"/>
      <c r="LZ42" s="758"/>
      <c r="MA42" s="758"/>
      <c r="MB42" s="758"/>
      <c r="MC42" s="758"/>
      <c r="MD42" s="758"/>
      <c r="ME42" s="758"/>
      <c r="MF42" s="758"/>
      <c r="MG42" s="758"/>
      <c r="MH42" s="758"/>
      <c r="MI42" s="758"/>
      <c r="MJ42" s="758"/>
      <c r="MK42" s="758"/>
      <c r="ML42" s="758"/>
      <c r="MM42" s="758"/>
      <c r="MN42" s="758"/>
      <c r="MO42" s="758"/>
      <c r="MP42" s="758"/>
      <c r="MQ42" s="758"/>
      <c r="MR42" s="758"/>
      <c r="MS42" s="758"/>
      <c r="MT42" s="758"/>
      <c r="MU42" s="758"/>
      <c r="MV42" s="758"/>
      <c r="MW42" s="758"/>
      <c r="MX42" s="758"/>
      <c r="MY42" s="758"/>
      <c r="MZ42" s="758"/>
      <c r="NA42" s="758"/>
      <c r="NB42" s="758"/>
      <c r="NC42" s="758"/>
      <c r="ND42" s="758"/>
      <c r="NE42" s="758"/>
    </row>
    <row r="43" spans="1:369" ht="12.75" customHeight="1">
      <c r="A43" s="859"/>
      <c r="B43" s="798" t="s">
        <v>1074</v>
      </c>
      <c r="C43" s="52" t="e">
        <f>IF($C$36="N.A.","N.A.",(0.4*$C$39*$C$30*$C$16)*(1+2*$C$14/$C$13)/($C$40/$C$15))</f>
        <v>#N/A</v>
      </c>
      <c r="D43" s="844" t="s">
        <v>1176</v>
      </c>
      <c r="E43" s="780"/>
      <c r="F43" s="780"/>
      <c r="G43" s="773"/>
      <c r="H43" s="773"/>
      <c r="I43" s="836"/>
      <c r="J43" s="1127" t="s">
        <v>25</v>
      </c>
      <c r="K43" s="1065" t="s">
        <v>965</v>
      </c>
      <c r="N43" s="1090"/>
      <c r="O43" s="1104" t="s">
        <v>84</v>
      </c>
      <c r="P43" s="1090" t="str">
        <f>IF($P$42=1,"A",IF($P$42=2,"B",IF($P$42=3,"C",IF($P$42=4,"D",IF($P$42=5,"E",IF($P$42=6,"F"))))))</f>
        <v>D</v>
      </c>
      <c r="T43" s="1110"/>
      <c r="U43" s="1110"/>
      <c r="V43" s="1129"/>
      <c r="W43" s="1129"/>
      <c r="X43" s="1100"/>
      <c r="Y43" s="1088"/>
      <c r="Z43" s="1088"/>
      <c r="AA43" s="758"/>
      <c r="AB43" s="767"/>
      <c r="AC43" s="768"/>
      <c r="AD43" s="753"/>
      <c r="AE43" s="753"/>
      <c r="AF43" s="753"/>
      <c r="AG43" s="758"/>
      <c r="AH43" s="758"/>
      <c r="AI43" s="1034"/>
      <c r="AJ43" s="1031" t="s">
        <v>1071</v>
      </c>
      <c r="AK43" s="1034"/>
      <c r="AL43" s="1031"/>
      <c r="AM43" s="1031"/>
      <c r="AN43" s="1031"/>
      <c r="AO43" s="1031"/>
      <c r="AP43" s="758"/>
      <c r="AQ43" s="758"/>
      <c r="AR43" s="758"/>
      <c r="AS43" s="758"/>
      <c r="AT43" s="758"/>
      <c r="AU43" s="758"/>
      <c r="AV43" s="758"/>
      <c r="AW43" s="758"/>
      <c r="AX43" s="758"/>
      <c r="AY43" s="758"/>
      <c r="AZ43" s="758"/>
      <c r="BA43" s="758"/>
      <c r="BB43" s="758"/>
      <c r="BC43" s="758"/>
      <c r="BD43" s="758"/>
      <c r="BE43" s="758"/>
      <c r="BF43" s="758"/>
      <c r="BG43" s="758"/>
      <c r="BH43" s="758"/>
      <c r="BI43" s="758"/>
      <c r="BJ43" s="758"/>
      <c r="BK43" s="758"/>
      <c r="BL43" s="758"/>
      <c r="BM43" s="758"/>
      <c r="BN43" s="758"/>
      <c r="BO43" s="758"/>
      <c r="BP43" s="758"/>
      <c r="BQ43" s="758"/>
      <c r="BR43" s="758"/>
      <c r="BS43" s="758"/>
      <c r="BT43" s="758"/>
      <c r="BU43" s="758"/>
      <c r="BV43" s="758"/>
      <c r="BW43" s="758"/>
      <c r="BX43" s="758"/>
      <c r="BY43" s="758"/>
      <c r="BZ43" s="758"/>
      <c r="CA43" s="758"/>
      <c r="CB43" s="758"/>
      <c r="CC43" s="758"/>
      <c r="CD43" s="758"/>
      <c r="CE43" s="758"/>
      <c r="CF43" s="758"/>
      <c r="CG43" s="758"/>
      <c r="CH43" s="758"/>
      <c r="CI43" s="758"/>
      <c r="CJ43" s="758"/>
      <c r="CK43" s="758"/>
      <c r="CL43" s="758"/>
      <c r="CM43" s="758"/>
      <c r="CN43" s="753"/>
      <c r="CO43" s="753"/>
      <c r="CP43" s="753"/>
      <c r="CQ43" s="753"/>
      <c r="CR43" s="753"/>
      <c r="CS43" s="753"/>
      <c r="CT43" s="753"/>
      <c r="CU43" s="753"/>
      <c r="CV43" s="753"/>
      <c r="CW43" s="753"/>
      <c r="CX43" s="753"/>
      <c r="CY43" s="753"/>
      <c r="CZ43" s="753"/>
      <c r="DA43" s="753"/>
      <c r="DB43" s="753"/>
      <c r="DC43" s="753"/>
      <c r="DD43" s="753"/>
      <c r="DE43" s="753"/>
      <c r="DF43" s="753"/>
      <c r="DG43" s="753"/>
      <c r="DH43" s="753"/>
      <c r="DI43" s="753"/>
      <c r="DJ43" s="753"/>
      <c r="DK43" s="753"/>
      <c r="DL43" s="753"/>
      <c r="DM43" s="776"/>
      <c r="DN43" s="776"/>
      <c r="DO43" s="758"/>
      <c r="DP43" s="758"/>
      <c r="DQ43" s="758"/>
      <c r="DR43" s="758"/>
      <c r="DS43" s="758"/>
      <c r="DT43" s="758"/>
      <c r="DU43" s="758"/>
      <c r="DV43" s="758"/>
      <c r="DW43" s="758"/>
      <c r="DX43" s="758"/>
      <c r="DY43" s="758"/>
      <c r="DZ43" s="758"/>
      <c r="EA43" s="758"/>
      <c r="EB43" s="758"/>
      <c r="EC43" s="758"/>
      <c r="ED43" s="758"/>
      <c r="EE43" s="758"/>
      <c r="EF43" s="758"/>
      <c r="EG43" s="758"/>
      <c r="EH43" s="758"/>
      <c r="EI43" s="758"/>
      <c r="EJ43" s="758"/>
      <c r="EK43" s="758"/>
      <c r="EL43" s="758"/>
      <c r="EM43" s="758"/>
      <c r="EN43" s="758"/>
      <c r="EO43" s="758"/>
      <c r="EP43" s="758"/>
      <c r="EQ43" s="758"/>
      <c r="ER43" s="758"/>
      <c r="ES43" s="758"/>
      <c r="ET43" s="758"/>
      <c r="EU43" s="758"/>
      <c r="EV43" s="758"/>
      <c r="EW43" s="758"/>
      <c r="EX43" s="758"/>
      <c r="EY43" s="758"/>
      <c r="EZ43" s="758"/>
      <c r="FA43" s="758"/>
      <c r="FB43" s="758"/>
      <c r="FC43" s="758"/>
      <c r="FD43" s="758"/>
      <c r="FE43" s="758"/>
      <c r="FF43" s="758"/>
      <c r="FG43" s="758"/>
      <c r="FH43" s="758"/>
      <c r="FI43" s="758"/>
      <c r="FJ43" s="758"/>
      <c r="FK43" s="758"/>
      <c r="FL43" s="758"/>
      <c r="FM43" s="758"/>
      <c r="FN43" s="758"/>
      <c r="FO43" s="758"/>
      <c r="FP43" s="758"/>
      <c r="FQ43" s="758"/>
      <c r="FR43" s="758"/>
      <c r="FS43" s="758"/>
      <c r="FT43" s="758"/>
      <c r="FU43" s="758"/>
      <c r="FV43" s="758"/>
      <c r="FW43" s="758"/>
      <c r="FX43" s="758"/>
      <c r="FY43" s="758"/>
      <c r="FZ43" s="758"/>
      <c r="GA43" s="758"/>
      <c r="GB43" s="758"/>
      <c r="GC43" s="758"/>
      <c r="GD43" s="758"/>
      <c r="GE43" s="758"/>
      <c r="GF43" s="758"/>
      <c r="GG43" s="758"/>
      <c r="GH43" s="758"/>
      <c r="GI43" s="758"/>
      <c r="GJ43" s="758"/>
      <c r="GK43" s="758"/>
      <c r="GL43" s="758"/>
      <c r="GM43" s="758"/>
      <c r="GN43" s="758"/>
      <c r="GO43" s="758"/>
      <c r="GP43" s="758"/>
      <c r="GQ43" s="758"/>
      <c r="GR43" s="758"/>
      <c r="GS43" s="758"/>
      <c r="GT43" s="758"/>
      <c r="GU43" s="758"/>
      <c r="GV43" s="758"/>
      <c r="GW43" s="758"/>
      <c r="GX43" s="758"/>
      <c r="GY43" s="758"/>
      <c r="GZ43" s="758"/>
      <c r="HA43" s="758"/>
      <c r="HB43" s="758"/>
      <c r="HC43" s="758"/>
      <c r="HD43" s="758"/>
      <c r="HE43" s="758"/>
      <c r="HF43" s="758"/>
      <c r="HG43" s="758"/>
      <c r="HH43" s="758"/>
      <c r="HI43" s="758"/>
      <c r="HJ43" s="758"/>
      <c r="HK43" s="758"/>
      <c r="HL43" s="758"/>
      <c r="HM43" s="758"/>
      <c r="HN43" s="758"/>
      <c r="HO43" s="758"/>
      <c r="HP43" s="758"/>
      <c r="HQ43" s="758"/>
      <c r="HR43" s="758"/>
      <c r="HS43" s="758"/>
      <c r="HT43" s="758"/>
      <c r="HU43" s="758"/>
      <c r="HV43" s="758"/>
      <c r="HW43" s="758"/>
      <c r="HX43" s="758"/>
      <c r="HY43" s="758"/>
      <c r="HZ43" s="758"/>
      <c r="IA43" s="758"/>
      <c r="IB43" s="758"/>
      <c r="IC43" s="758"/>
      <c r="ID43" s="758"/>
      <c r="IE43" s="758"/>
      <c r="IF43" s="758"/>
      <c r="IG43" s="758"/>
      <c r="IH43" s="758"/>
      <c r="II43" s="758"/>
      <c r="IJ43" s="758"/>
      <c r="IK43" s="758"/>
      <c r="IL43" s="758"/>
      <c r="IM43" s="758"/>
      <c r="IN43" s="758"/>
      <c r="IO43" s="758"/>
      <c r="IP43" s="758"/>
      <c r="IQ43" s="758"/>
      <c r="IR43" s="758"/>
      <c r="IS43" s="758"/>
      <c r="IT43" s="758"/>
      <c r="IU43" s="758"/>
      <c r="IV43" s="758"/>
      <c r="IW43" s="758"/>
      <c r="IX43" s="758"/>
      <c r="IY43" s="758"/>
      <c r="IZ43" s="758"/>
      <c r="JA43" s="758"/>
      <c r="JB43" s="758"/>
      <c r="JC43" s="758"/>
      <c r="JD43" s="758"/>
      <c r="JE43" s="758"/>
      <c r="JF43" s="758"/>
      <c r="JG43" s="758"/>
      <c r="JH43" s="758"/>
      <c r="JI43" s="758"/>
      <c r="JJ43" s="758"/>
      <c r="JK43" s="758"/>
      <c r="JL43" s="758"/>
      <c r="JM43" s="758"/>
      <c r="JN43" s="758"/>
      <c r="JO43" s="758"/>
      <c r="JP43" s="758"/>
      <c r="JQ43" s="758"/>
      <c r="JR43" s="758"/>
      <c r="JS43" s="758"/>
      <c r="JT43" s="758"/>
      <c r="JU43" s="758"/>
      <c r="JV43" s="758"/>
      <c r="JW43" s="758"/>
      <c r="JX43" s="758"/>
      <c r="JY43" s="758"/>
      <c r="JZ43" s="758"/>
      <c r="KA43" s="758"/>
      <c r="KB43" s="758"/>
      <c r="KC43" s="758"/>
      <c r="KD43" s="758"/>
      <c r="KE43" s="758"/>
      <c r="KF43" s="758"/>
      <c r="KG43" s="758"/>
      <c r="KH43" s="758"/>
      <c r="KI43" s="758"/>
      <c r="KJ43" s="758"/>
      <c r="KK43" s="758"/>
      <c r="KL43" s="758"/>
      <c r="KM43" s="758"/>
      <c r="KN43" s="758"/>
      <c r="KO43" s="758"/>
      <c r="KP43" s="758"/>
      <c r="KQ43" s="758"/>
      <c r="KR43" s="758"/>
      <c r="KS43" s="758"/>
      <c r="KT43" s="758"/>
      <c r="KU43" s="758"/>
      <c r="KV43" s="758"/>
      <c r="KW43" s="758"/>
      <c r="KX43" s="758"/>
      <c r="KY43" s="758"/>
      <c r="KZ43" s="758"/>
      <c r="LA43" s="758"/>
      <c r="LB43" s="758"/>
      <c r="LC43" s="758"/>
      <c r="LD43" s="758"/>
      <c r="LE43" s="758"/>
      <c r="LF43" s="758"/>
      <c r="LG43" s="758"/>
      <c r="LH43" s="758"/>
      <c r="LI43" s="758"/>
      <c r="LJ43" s="758"/>
      <c r="LK43" s="758"/>
      <c r="LL43" s="758"/>
      <c r="LM43" s="758"/>
      <c r="LN43" s="758"/>
      <c r="LO43" s="758"/>
      <c r="LP43" s="758"/>
      <c r="LQ43" s="758"/>
      <c r="LR43" s="758"/>
      <c r="LS43" s="758"/>
      <c r="LT43" s="758"/>
      <c r="LU43" s="758"/>
      <c r="LV43" s="758"/>
      <c r="LW43" s="758"/>
      <c r="LX43" s="758"/>
      <c r="LY43" s="758"/>
      <c r="LZ43" s="758"/>
      <c r="MA43" s="758"/>
      <c r="MB43" s="758"/>
      <c r="MC43" s="758"/>
      <c r="MD43" s="758"/>
      <c r="ME43" s="758"/>
      <c r="MF43" s="758"/>
      <c r="MG43" s="758"/>
      <c r="MH43" s="758"/>
      <c r="MI43" s="758"/>
      <c r="MJ43" s="758"/>
      <c r="MK43" s="758"/>
      <c r="ML43" s="758"/>
      <c r="MM43" s="758"/>
      <c r="MN43" s="758"/>
      <c r="MO43" s="758"/>
      <c r="MP43" s="758"/>
      <c r="MQ43" s="758"/>
      <c r="MR43" s="758"/>
      <c r="MS43" s="758"/>
      <c r="MT43" s="758"/>
      <c r="MU43" s="758"/>
      <c r="MV43" s="758"/>
      <c r="MW43" s="758"/>
      <c r="MX43" s="758"/>
      <c r="MY43" s="758"/>
      <c r="MZ43" s="758"/>
      <c r="NA43" s="758"/>
      <c r="NB43" s="758"/>
      <c r="NC43" s="758"/>
      <c r="ND43" s="758"/>
      <c r="NE43" s="758"/>
    </row>
    <row r="44" spans="1:369" ht="12.75" customHeight="1">
      <c r="A44" s="857"/>
      <c r="B44" s="798" t="s">
        <v>1076</v>
      </c>
      <c r="C44" s="59">
        <f>IF($C$36="N.A.","N.A.",1.6*$C$30*$C$15*$C$16)</f>
        <v>257.15302400000002</v>
      </c>
      <c r="D44" s="844" t="s">
        <v>1177</v>
      </c>
      <c r="E44" s="798"/>
      <c r="F44" s="753"/>
      <c r="G44" s="753"/>
      <c r="H44" s="753"/>
      <c r="I44" s="834"/>
      <c r="J44" s="1127" t="s">
        <v>25</v>
      </c>
      <c r="K44" s="1065" t="s">
        <v>967</v>
      </c>
      <c r="T44" s="1110"/>
      <c r="U44" s="1110"/>
      <c r="V44" s="1129"/>
      <c r="W44" s="1129"/>
      <c r="X44" s="1100"/>
      <c r="Y44" s="1088"/>
      <c r="Z44" s="1088"/>
      <c r="AA44" s="758"/>
      <c r="AB44" s="758"/>
      <c r="AC44" s="758"/>
      <c r="AD44" s="758"/>
      <c r="AE44" s="758"/>
      <c r="AF44" s="758"/>
      <c r="AG44" s="758"/>
      <c r="AH44" s="758"/>
      <c r="AI44" s="1035"/>
      <c r="AJ44" s="1036" t="s">
        <v>1073</v>
      </c>
      <c r="AK44" s="1031"/>
      <c r="AL44" s="1031"/>
      <c r="AM44" s="1031"/>
      <c r="AN44" s="1031"/>
      <c r="AO44" s="1031"/>
      <c r="AP44" s="758"/>
      <c r="AQ44" s="758"/>
      <c r="AR44" s="758"/>
      <c r="AS44" s="758"/>
      <c r="AT44" s="758"/>
      <c r="AU44" s="758"/>
      <c r="AV44" s="758"/>
      <c r="AW44" s="758"/>
      <c r="AX44" s="758"/>
      <c r="AY44" s="758"/>
      <c r="AZ44" s="758"/>
      <c r="BA44" s="758"/>
      <c r="BB44" s="758"/>
      <c r="BC44" s="758"/>
      <c r="BD44" s="758"/>
      <c r="BE44" s="758"/>
      <c r="BF44" s="758"/>
      <c r="BG44" s="758"/>
      <c r="BH44" s="758"/>
      <c r="BI44" s="758"/>
      <c r="BJ44" s="758"/>
      <c r="BK44" s="758"/>
      <c r="BL44" s="758"/>
      <c r="BM44" s="758"/>
      <c r="BN44" s="758"/>
      <c r="BO44" s="758"/>
      <c r="BP44" s="758"/>
      <c r="BQ44" s="758"/>
      <c r="BR44" s="758"/>
      <c r="BS44" s="758"/>
      <c r="BT44" s="758"/>
      <c r="BU44" s="758"/>
      <c r="BV44" s="758"/>
      <c r="BW44" s="758"/>
      <c r="BX44" s="758"/>
      <c r="BY44" s="758"/>
      <c r="BZ44" s="758"/>
      <c r="CA44" s="758"/>
      <c r="CB44" s="758"/>
      <c r="CC44" s="758"/>
      <c r="CD44" s="758"/>
      <c r="CE44" s="758"/>
      <c r="CF44" s="758"/>
      <c r="CG44" s="758"/>
      <c r="CH44" s="758"/>
      <c r="CI44" s="758"/>
      <c r="CJ44" s="758"/>
      <c r="CK44" s="758"/>
      <c r="CL44" s="758"/>
      <c r="CM44" s="758"/>
      <c r="CN44" s="753"/>
      <c r="CO44" s="753"/>
      <c r="CP44" s="753"/>
      <c r="CQ44" s="753"/>
      <c r="CR44" s="753"/>
      <c r="CS44" s="753"/>
      <c r="CT44" s="753"/>
      <c r="CU44" s="753"/>
      <c r="CV44" s="753"/>
      <c r="CW44" s="753"/>
      <c r="CX44" s="753"/>
      <c r="CY44" s="753"/>
      <c r="CZ44" s="753"/>
      <c r="DA44" s="753"/>
      <c r="DB44" s="753"/>
      <c r="DC44" s="753"/>
      <c r="DD44" s="753"/>
      <c r="DE44" s="753"/>
      <c r="DF44" s="753"/>
      <c r="DG44" s="753"/>
      <c r="DH44" s="753"/>
      <c r="DI44" s="753"/>
      <c r="DJ44" s="753"/>
      <c r="DK44" s="753"/>
      <c r="DL44" s="753"/>
      <c r="DM44" s="776"/>
      <c r="DN44" s="758"/>
      <c r="DO44" s="758"/>
      <c r="DP44" s="758"/>
      <c r="DQ44" s="758"/>
      <c r="DR44" s="758"/>
      <c r="DS44" s="758"/>
      <c r="DT44" s="758"/>
      <c r="DU44" s="758"/>
      <c r="DV44" s="758"/>
      <c r="DW44" s="819"/>
      <c r="DX44" s="758"/>
      <c r="DY44" s="758"/>
      <c r="DZ44" s="758"/>
      <c r="EA44" s="758"/>
      <c r="EB44" s="758"/>
      <c r="EC44" s="758"/>
      <c r="ED44" s="758"/>
      <c r="EE44" s="758"/>
      <c r="EF44" s="758"/>
      <c r="EG44" s="758"/>
      <c r="EH44" s="758"/>
      <c r="EI44" s="758"/>
      <c r="EJ44" s="758"/>
      <c r="EK44" s="758"/>
      <c r="EL44" s="758"/>
      <c r="EM44" s="758"/>
      <c r="EN44" s="758"/>
      <c r="EO44" s="758"/>
      <c r="EP44" s="758"/>
      <c r="EQ44" s="758"/>
      <c r="ER44" s="758"/>
      <c r="ES44" s="758"/>
      <c r="ET44" s="758"/>
      <c r="EU44" s="758"/>
      <c r="EV44" s="758"/>
      <c r="EW44" s="758"/>
      <c r="EX44" s="758"/>
      <c r="EY44" s="758"/>
      <c r="EZ44" s="758"/>
      <c r="FA44" s="758"/>
      <c r="FB44" s="758"/>
      <c r="FC44" s="758"/>
      <c r="FD44" s="758"/>
      <c r="FE44" s="758"/>
      <c r="FF44" s="758"/>
      <c r="FG44" s="758"/>
      <c r="FH44" s="758"/>
      <c r="FI44" s="758"/>
      <c r="FJ44" s="758"/>
      <c r="FK44" s="758"/>
      <c r="FL44" s="758"/>
      <c r="FM44" s="758"/>
      <c r="FN44" s="758"/>
      <c r="FO44" s="758"/>
      <c r="FP44" s="758"/>
      <c r="FQ44" s="758"/>
      <c r="FR44" s="758"/>
      <c r="FS44" s="758"/>
      <c r="FT44" s="758"/>
      <c r="FU44" s="758"/>
      <c r="FV44" s="758"/>
      <c r="FW44" s="758"/>
      <c r="FX44" s="758"/>
      <c r="FY44" s="758"/>
      <c r="FZ44" s="758"/>
      <c r="GA44" s="758"/>
      <c r="GB44" s="758"/>
      <c r="GC44" s="758"/>
      <c r="GD44" s="758"/>
      <c r="GE44" s="758"/>
      <c r="GF44" s="758"/>
      <c r="GG44" s="758"/>
      <c r="GH44" s="758"/>
      <c r="GI44" s="758"/>
      <c r="GJ44" s="758"/>
      <c r="GK44" s="758"/>
      <c r="GL44" s="758"/>
      <c r="GM44" s="758"/>
      <c r="GN44" s="758"/>
      <c r="GO44" s="758"/>
      <c r="GP44" s="758"/>
      <c r="GQ44" s="758"/>
      <c r="GR44" s="758"/>
      <c r="GS44" s="758"/>
      <c r="GT44" s="758"/>
      <c r="GU44" s="758"/>
      <c r="GV44" s="758"/>
      <c r="GW44" s="758"/>
      <c r="GX44" s="758"/>
      <c r="GY44" s="758"/>
      <c r="GZ44" s="758"/>
      <c r="HA44" s="758"/>
      <c r="HB44" s="758"/>
      <c r="HC44" s="758"/>
      <c r="HD44" s="758"/>
      <c r="HE44" s="758"/>
      <c r="HF44" s="758"/>
      <c r="HG44" s="758"/>
      <c r="HH44" s="758"/>
      <c r="HI44" s="758"/>
      <c r="HJ44" s="758"/>
      <c r="HK44" s="758"/>
      <c r="HL44" s="758"/>
      <c r="HM44" s="758"/>
      <c r="HN44" s="758"/>
      <c r="HO44" s="758"/>
      <c r="HP44" s="758"/>
      <c r="HQ44" s="758"/>
      <c r="HR44" s="758"/>
      <c r="HS44" s="758"/>
      <c r="HT44" s="758"/>
      <c r="HU44" s="758"/>
      <c r="HV44" s="758"/>
      <c r="HW44" s="758"/>
      <c r="HX44" s="758"/>
      <c r="HY44" s="758"/>
      <c r="HZ44" s="758"/>
      <c r="IA44" s="758"/>
      <c r="IB44" s="758"/>
      <c r="IC44" s="758"/>
      <c r="ID44" s="758"/>
      <c r="IE44" s="758"/>
      <c r="IF44" s="758"/>
      <c r="IG44" s="758"/>
      <c r="IH44" s="758"/>
      <c r="II44" s="758"/>
      <c r="IJ44" s="758"/>
      <c r="IK44" s="758"/>
      <c r="IL44" s="758"/>
      <c r="IM44" s="758"/>
      <c r="IN44" s="758"/>
      <c r="IO44" s="758"/>
      <c r="IP44" s="758"/>
      <c r="IQ44" s="758"/>
      <c r="IR44" s="758"/>
      <c r="IS44" s="758"/>
      <c r="IT44" s="758"/>
      <c r="IU44" s="758"/>
      <c r="IV44" s="758"/>
      <c r="IW44" s="758"/>
      <c r="IX44" s="758"/>
      <c r="IY44" s="758"/>
      <c r="IZ44" s="758"/>
      <c r="JA44" s="758"/>
      <c r="JB44" s="758"/>
      <c r="JC44" s="758"/>
      <c r="JD44" s="758"/>
      <c r="JE44" s="758"/>
      <c r="JF44" s="758"/>
      <c r="JG44" s="758"/>
      <c r="JH44" s="758"/>
      <c r="JI44" s="758"/>
      <c r="JJ44" s="758"/>
      <c r="JK44" s="758"/>
      <c r="JL44" s="758"/>
      <c r="JM44" s="758"/>
      <c r="JN44" s="758"/>
      <c r="JO44" s="758"/>
      <c r="JP44" s="758"/>
      <c r="JQ44" s="758"/>
      <c r="JR44" s="758"/>
      <c r="JS44" s="758"/>
      <c r="JT44" s="758"/>
      <c r="JU44" s="758"/>
      <c r="JV44" s="758"/>
      <c r="JW44" s="758"/>
      <c r="JX44" s="758"/>
      <c r="JY44" s="758"/>
      <c r="JZ44" s="758"/>
      <c r="KA44" s="758"/>
      <c r="KB44" s="758"/>
      <c r="KC44" s="758"/>
      <c r="KD44" s="758"/>
      <c r="KE44" s="758"/>
      <c r="KF44" s="758"/>
      <c r="KG44" s="758"/>
      <c r="KH44" s="758"/>
      <c r="KI44" s="758"/>
      <c r="KJ44" s="758"/>
      <c r="KK44" s="758"/>
      <c r="KL44" s="758"/>
      <c r="KM44" s="758"/>
      <c r="KN44" s="758"/>
      <c r="KO44" s="758"/>
      <c r="KP44" s="758"/>
      <c r="KQ44" s="758"/>
      <c r="KR44" s="758"/>
      <c r="KS44" s="758"/>
      <c r="KT44" s="758"/>
      <c r="KU44" s="758"/>
      <c r="KV44" s="758"/>
      <c r="KW44" s="758"/>
      <c r="KX44" s="758"/>
      <c r="KY44" s="758"/>
      <c r="KZ44" s="758"/>
      <c r="LA44" s="758"/>
      <c r="LB44" s="758"/>
      <c r="LC44" s="758"/>
      <c r="LD44" s="758"/>
      <c r="LE44" s="758"/>
      <c r="LF44" s="758"/>
      <c r="LG44" s="758"/>
      <c r="LH44" s="758"/>
      <c r="LI44" s="758"/>
      <c r="LJ44" s="758"/>
      <c r="LK44" s="758"/>
      <c r="LL44" s="758"/>
      <c r="LM44" s="758"/>
      <c r="LN44" s="758"/>
      <c r="LO44" s="758"/>
      <c r="LP44" s="758"/>
      <c r="LQ44" s="758"/>
      <c r="LR44" s="758"/>
      <c r="LS44" s="758"/>
      <c r="LT44" s="758"/>
      <c r="LU44" s="758"/>
      <c r="LV44" s="758"/>
      <c r="LW44" s="758"/>
      <c r="LX44" s="758"/>
      <c r="LY44" s="758"/>
      <c r="LZ44" s="758"/>
      <c r="MA44" s="758"/>
      <c r="MB44" s="758"/>
      <c r="MC44" s="758"/>
      <c r="MD44" s="758"/>
      <c r="ME44" s="758"/>
      <c r="MF44" s="758"/>
      <c r="MG44" s="758"/>
      <c r="MH44" s="758"/>
      <c r="MI44" s="758"/>
      <c r="MJ44" s="758"/>
      <c r="MK44" s="758"/>
      <c r="ML44" s="758"/>
      <c r="MM44" s="758"/>
      <c r="MN44" s="758"/>
      <c r="MO44" s="758"/>
      <c r="MP44" s="758"/>
      <c r="MQ44" s="758"/>
      <c r="MR44" s="758"/>
      <c r="MS44" s="758"/>
      <c r="MT44" s="758"/>
      <c r="MU44" s="758"/>
      <c r="MV44" s="758"/>
      <c r="MW44" s="758"/>
      <c r="MX44" s="758"/>
      <c r="MY44" s="758"/>
      <c r="MZ44" s="758"/>
      <c r="NA44" s="758"/>
      <c r="NB44" s="758"/>
      <c r="NC44" s="758"/>
      <c r="ND44" s="758"/>
      <c r="NE44" s="758"/>
    </row>
    <row r="45" spans="1:369" ht="12.75" customHeight="1">
      <c r="A45" s="857"/>
      <c r="B45" s="798" t="s">
        <v>1079</v>
      </c>
      <c r="C45" s="59">
        <f>IF($C$36="N.A.","N.A.",0.3*$C$30*$C$15*$C$16)</f>
        <v>48.216191999999992</v>
      </c>
      <c r="D45" s="844" t="s">
        <v>1178</v>
      </c>
      <c r="E45" s="780"/>
      <c r="F45" s="780"/>
      <c r="G45" s="780"/>
      <c r="H45" s="780"/>
      <c r="I45" s="829"/>
      <c r="J45" s="1127" t="s">
        <v>25</v>
      </c>
      <c r="K45" s="1065" t="s">
        <v>977</v>
      </c>
      <c r="L45" s="1063"/>
      <c r="M45" s="1063"/>
      <c r="N45" s="1063"/>
      <c r="O45" s="1063"/>
      <c r="P45" s="1063"/>
      <c r="T45" s="1063"/>
      <c r="U45" s="1063"/>
      <c r="V45" s="1076"/>
      <c r="W45" s="1076"/>
      <c r="X45" s="1100"/>
      <c r="Y45" s="1088"/>
      <c r="Z45" s="1088"/>
      <c r="AA45" s="758"/>
      <c r="AB45" s="758"/>
      <c r="AC45" s="758"/>
      <c r="AD45" s="758"/>
      <c r="AE45" s="758"/>
      <c r="AF45" s="758"/>
      <c r="AG45" s="758"/>
      <c r="AH45" s="758"/>
      <c r="AI45" s="1035"/>
      <c r="AJ45" s="841" t="s">
        <v>1075</v>
      </c>
      <c r="AK45" s="1031"/>
      <c r="AL45" s="1031"/>
      <c r="AM45" s="1031"/>
      <c r="AN45" s="1031"/>
      <c r="AO45" s="1031"/>
      <c r="AP45" s="758"/>
      <c r="AQ45" s="758"/>
      <c r="AR45" s="758"/>
      <c r="AS45" s="758"/>
      <c r="AT45" s="758"/>
      <c r="AU45" s="758"/>
      <c r="AV45" s="758"/>
      <c r="AW45" s="758"/>
      <c r="AX45" s="758"/>
      <c r="AY45" s="758"/>
      <c r="AZ45" s="758"/>
      <c r="BA45" s="758"/>
      <c r="BB45" s="758"/>
      <c r="BC45" s="758"/>
      <c r="BD45" s="758"/>
      <c r="BE45" s="758"/>
      <c r="BF45" s="758"/>
      <c r="BG45" s="758"/>
      <c r="BH45" s="758"/>
      <c r="BI45" s="758"/>
      <c r="BJ45" s="758"/>
      <c r="BK45" s="758"/>
      <c r="BL45" s="758"/>
      <c r="BM45" s="758"/>
      <c r="BN45" s="758"/>
      <c r="BO45" s="758"/>
      <c r="BP45" s="758"/>
      <c r="BQ45" s="758"/>
      <c r="BR45" s="758"/>
      <c r="BS45" s="758"/>
      <c r="BT45" s="758"/>
      <c r="BU45" s="758"/>
      <c r="BV45" s="758"/>
      <c r="BW45" s="758"/>
      <c r="BX45" s="758"/>
      <c r="BY45" s="758"/>
      <c r="BZ45" s="758"/>
      <c r="CA45" s="758"/>
      <c r="CB45" s="758"/>
      <c r="CC45" s="758"/>
      <c r="CD45" s="758"/>
      <c r="CE45" s="758"/>
      <c r="CF45" s="758"/>
      <c r="CG45" s="758"/>
      <c r="CH45" s="758"/>
      <c r="CI45" s="758"/>
      <c r="CJ45" s="758"/>
      <c r="CK45" s="758"/>
      <c r="CL45" s="758"/>
      <c r="CM45" s="758"/>
      <c r="CN45" s="753"/>
      <c r="CO45" s="753"/>
      <c r="CP45" s="753"/>
      <c r="CQ45" s="753"/>
      <c r="CR45" s="753"/>
      <c r="CS45" s="753"/>
      <c r="CT45" s="753"/>
      <c r="CU45" s="753"/>
      <c r="CV45" s="753"/>
      <c r="CW45" s="753"/>
      <c r="CX45" s="753"/>
      <c r="CY45" s="753"/>
      <c r="CZ45" s="753"/>
      <c r="DA45" s="753"/>
      <c r="DB45" s="753"/>
      <c r="DC45" s="753"/>
      <c r="DD45" s="753"/>
      <c r="DE45" s="753"/>
      <c r="DF45" s="753"/>
      <c r="DG45" s="753"/>
      <c r="DH45" s="753"/>
      <c r="DI45" s="753"/>
      <c r="DJ45" s="753"/>
      <c r="DK45" s="753"/>
      <c r="DL45" s="753"/>
      <c r="DM45" s="776"/>
      <c r="DN45" s="758"/>
      <c r="DO45" s="758"/>
      <c r="DP45" s="758"/>
      <c r="DQ45" s="758"/>
      <c r="DR45" s="758"/>
      <c r="DS45" s="758"/>
      <c r="DT45" s="758"/>
      <c r="DU45" s="758"/>
      <c r="DV45" s="758"/>
      <c r="DW45" s="819"/>
      <c r="DX45" s="758"/>
      <c r="DY45" s="758"/>
      <c r="DZ45" s="758"/>
      <c r="EA45" s="758"/>
      <c r="EB45" s="758"/>
      <c r="EC45" s="758"/>
      <c r="ED45" s="758"/>
      <c r="EE45" s="758"/>
      <c r="EF45" s="758"/>
      <c r="EG45" s="758"/>
      <c r="EH45" s="758"/>
      <c r="EI45" s="758"/>
      <c r="EJ45" s="758"/>
      <c r="EK45" s="758"/>
      <c r="EL45" s="758"/>
      <c r="EM45" s="758"/>
      <c r="EN45" s="758"/>
      <c r="EO45" s="758"/>
      <c r="EP45" s="758"/>
      <c r="EQ45" s="758"/>
      <c r="ER45" s="758"/>
      <c r="ES45" s="758"/>
      <c r="ET45" s="758"/>
      <c r="EU45" s="758"/>
      <c r="EV45" s="758"/>
      <c r="EW45" s="758"/>
      <c r="EX45" s="758"/>
      <c r="EY45" s="758"/>
      <c r="EZ45" s="758"/>
      <c r="FA45" s="758"/>
      <c r="FB45" s="758"/>
      <c r="FC45" s="758"/>
      <c r="FD45" s="758"/>
      <c r="FE45" s="758"/>
      <c r="FF45" s="758"/>
      <c r="FG45" s="758"/>
      <c r="FH45" s="758"/>
      <c r="FI45" s="758"/>
      <c r="FJ45" s="758"/>
      <c r="FK45" s="758"/>
      <c r="FL45" s="758"/>
      <c r="FM45" s="758"/>
      <c r="FN45" s="758"/>
      <c r="FO45" s="758"/>
      <c r="FP45" s="758"/>
      <c r="FQ45" s="758"/>
      <c r="FR45" s="758"/>
      <c r="FS45" s="758"/>
      <c r="FT45" s="758"/>
      <c r="FU45" s="758"/>
      <c r="FV45" s="758"/>
      <c r="FW45" s="758"/>
      <c r="FX45" s="758"/>
      <c r="FY45" s="758"/>
      <c r="FZ45" s="758"/>
      <c r="GA45" s="758"/>
      <c r="GB45" s="758"/>
      <c r="GC45" s="758"/>
      <c r="GD45" s="758"/>
      <c r="GE45" s="758"/>
      <c r="GF45" s="758"/>
      <c r="GG45" s="758"/>
      <c r="GH45" s="758"/>
      <c r="GI45" s="758"/>
      <c r="GJ45" s="758"/>
      <c r="GK45" s="758"/>
      <c r="GL45" s="758"/>
      <c r="GM45" s="758"/>
      <c r="GN45" s="758"/>
      <c r="GO45" s="758"/>
      <c r="GP45" s="758"/>
      <c r="GQ45" s="758"/>
      <c r="GR45" s="758"/>
      <c r="GS45" s="758"/>
      <c r="GT45" s="758"/>
      <c r="GU45" s="758"/>
      <c r="GV45" s="758"/>
      <c r="GW45" s="758"/>
      <c r="GX45" s="758"/>
      <c r="GY45" s="758"/>
      <c r="GZ45" s="758"/>
      <c r="HA45" s="758"/>
      <c r="HB45" s="758"/>
      <c r="HC45" s="758"/>
      <c r="HD45" s="758"/>
      <c r="HE45" s="758"/>
      <c r="HF45" s="758"/>
      <c r="HG45" s="758"/>
      <c r="HH45" s="758"/>
      <c r="HI45" s="758"/>
      <c r="HJ45" s="758"/>
      <c r="HK45" s="758"/>
      <c r="HL45" s="758"/>
      <c r="HM45" s="758"/>
      <c r="HN45" s="758"/>
      <c r="HO45" s="758"/>
      <c r="HP45" s="758"/>
      <c r="HQ45" s="758"/>
      <c r="HR45" s="758"/>
      <c r="HS45" s="758"/>
      <c r="HT45" s="758"/>
      <c r="HU45" s="758"/>
      <c r="HV45" s="758"/>
      <c r="HW45" s="758"/>
      <c r="HX45" s="758"/>
      <c r="HY45" s="758"/>
      <c r="HZ45" s="758"/>
      <c r="IA45" s="758"/>
      <c r="IB45" s="758"/>
      <c r="IC45" s="758"/>
      <c r="ID45" s="758"/>
      <c r="IE45" s="758"/>
      <c r="IF45" s="758"/>
      <c r="IG45" s="758"/>
      <c r="IH45" s="758"/>
      <c r="II45" s="758"/>
      <c r="IJ45" s="758"/>
      <c r="IK45" s="758"/>
      <c r="IL45" s="758"/>
      <c r="IM45" s="758"/>
      <c r="IN45" s="758"/>
      <c r="IO45" s="758"/>
      <c r="IP45" s="758"/>
      <c r="IQ45" s="758"/>
      <c r="IR45" s="758"/>
      <c r="IS45" s="758"/>
      <c r="IT45" s="758"/>
      <c r="IU45" s="758"/>
      <c r="IV45" s="758"/>
      <c r="IW45" s="758"/>
      <c r="IX45" s="758"/>
      <c r="IY45" s="758"/>
      <c r="IZ45" s="758"/>
      <c r="JA45" s="758"/>
      <c r="JB45" s="758"/>
      <c r="JC45" s="758"/>
      <c r="JD45" s="758"/>
      <c r="JE45" s="758"/>
      <c r="JF45" s="758"/>
      <c r="JG45" s="758"/>
      <c r="JH45" s="758"/>
      <c r="JI45" s="758"/>
      <c r="JJ45" s="758"/>
      <c r="JK45" s="758"/>
      <c r="JL45" s="758"/>
      <c r="JM45" s="758"/>
      <c r="JN45" s="758"/>
      <c r="JO45" s="758"/>
      <c r="JP45" s="758"/>
      <c r="JQ45" s="758"/>
      <c r="JR45" s="758"/>
      <c r="JS45" s="758"/>
      <c r="JT45" s="758"/>
      <c r="JU45" s="758"/>
      <c r="JV45" s="758"/>
      <c r="JW45" s="758"/>
      <c r="JX45" s="758"/>
      <c r="JY45" s="758"/>
      <c r="JZ45" s="758"/>
      <c r="KA45" s="758"/>
      <c r="KB45" s="758"/>
      <c r="KC45" s="758"/>
      <c r="KD45" s="758"/>
      <c r="KE45" s="758"/>
      <c r="KF45" s="758"/>
      <c r="KG45" s="758"/>
      <c r="KH45" s="758"/>
      <c r="KI45" s="758"/>
      <c r="KJ45" s="758"/>
      <c r="KK45" s="758"/>
      <c r="KL45" s="758"/>
      <c r="KM45" s="758"/>
      <c r="KN45" s="758"/>
      <c r="KO45" s="758"/>
      <c r="KP45" s="758"/>
      <c r="KQ45" s="758"/>
      <c r="KR45" s="758"/>
      <c r="KS45" s="758"/>
      <c r="KT45" s="758"/>
      <c r="KU45" s="758"/>
      <c r="KV45" s="758"/>
      <c r="KW45" s="758"/>
      <c r="KX45" s="758"/>
      <c r="KY45" s="758"/>
      <c r="KZ45" s="758"/>
      <c r="LA45" s="758"/>
      <c r="LB45" s="758"/>
      <c r="LC45" s="758"/>
      <c r="LD45" s="758"/>
      <c r="LE45" s="758"/>
      <c r="LF45" s="758"/>
      <c r="LG45" s="758"/>
      <c r="LH45" s="758"/>
      <c r="LI45" s="758"/>
      <c r="LJ45" s="758"/>
      <c r="LK45" s="758"/>
      <c r="LL45" s="758"/>
      <c r="LM45" s="758"/>
      <c r="LN45" s="758"/>
      <c r="LO45" s="758"/>
      <c r="LP45" s="758"/>
      <c r="LQ45" s="758"/>
      <c r="LR45" s="758"/>
      <c r="LS45" s="758"/>
      <c r="LT45" s="758"/>
      <c r="LU45" s="758"/>
      <c r="LV45" s="758"/>
      <c r="LW45" s="758"/>
      <c r="LX45" s="758"/>
      <c r="LY45" s="758"/>
      <c r="LZ45" s="758"/>
      <c r="MA45" s="758"/>
      <c r="MB45" s="758"/>
      <c r="MC45" s="758"/>
      <c r="MD45" s="758"/>
      <c r="ME45" s="758"/>
      <c r="MF45" s="758"/>
      <c r="MG45" s="758"/>
      <c r="MH45" s="758"/>
      <c r="MI45" s="758"/>
      <c r="MJ45" s="758"/>
      <c r="MK45" s="758"/>
      <c r="ML45" s="758"/>
      <c r="MM45" s="758"/>
      <c r="MN45" s="758"/>
      <c r="MO45" s="758"/>
      <c r="MP45" s="758"/>
      <c r="MQ45" s="758"/>
      <c r="MR45" s="758"/>
      <c r="MS45" s="758"/>
      <c r="MT45" s="758"/>
      <c r="MU45" s="758"/>
      <c r="MV45" s="758"/>
      <c r="MW45" s="758"/>
      <c r="MX45" s="758"/>
      <c r="MY45" s="758"/>
      <c r="MZ45" s="758"/>
      <c r="NA45" s="758"/>
      <c r="NB45" s="758"/>
      <c r="NC45" s="758"/>
      <c r="ND45" s="758"/>
      <c r="NE45" s="758"/>
    </row>
    <row r="46" spans="1:369" ht="12.75" customHeight="1">
      <c r="A46" s="857"/>
      <c r="B46" s="798" t="s">
        <v>1081</v>
      </c>
      <c r="C46" s="74" t="e">
        <f>IF($C$36="N.A.","N.A.",IF(AND($C$45&lt;$C$43,$C$43&lt;$C$44),$C$43,IF($C$43&lt;$C$45,$C$45, IF($C$45&gt;=$C$44,$C$45,$C$44))))</f>
        <v>#N/A</v>
      </c>
      <c r="D46" s="851" t="s">
        <v>1082</v>
      </c>
      <c r="E46" s="780"/>
      <c r="F46" s="780"/>
      <c r="G46" s="780"/>
      <c r="H46" s="780"/>
      <c r="I46" s="829"/>
      <c r="J46" s="1127" t="s">
        <v>25</v>
      </c>
      <c r="K46" s="1125"/>
      <c r="L46" s="1063"/>
      <c r="M46" s="1063"/>
      <c r="N46" s="1063"/>
      <c r="O46" s="1063"/>
      <c r="P46" s="1063"/>
      <c r="T46" s="1110"/>
      <c r="U46" s="1110"/>
      <c r="V46" s="1129"/>
      <c r="W46" s="1129"/>
      <c r="X46" s="1100"/>
      <c r="Y46" s="1088"/>
      <c r="Z46" s="1088"/>
      <c r="AA46" s="758"/>
      <c r="AB46" s="758"/>
      <c r="AC46" s="758"/>
      <c r="AD46" s="758"/>
      <c r="AE46" s="758"/>
      <c r="AF46" s="758"/>
      <c r="AG46" s="758"/>
      <c r="AH46" s="758"/>
      <c r="AI46" s="1033" t="s">
        <v>1077</v>
      </c>
      <c r="AJ46" s="841" t="s">
        <v>1078</v>
      </c>
      <c r="AK46" s="1031"/>
      <c r="AL46" s="1031"/>
      <c r="AM46" s="1031"/>
      <c r="AN46" s="1031"/>
      <c r="AO46" s="1031"/>
      <c r="AP46" s="758"/>
      <c r="AQ46" s="758"/>
      <c r="AR46" s="758"/>
      <c r="AS46" s="758"/>
      <c r="AT46" s="758"/>
      <c r="AU46" s="758"/>
      <c r="AV46" s="758"/>
      <c r="AW46" s="758"/>
      <c r="AX46" s="758"/>
      <c r="AY46" s="758"/>
      <c r="AZ46" s="758"/>
      <c r="BA46" s="758"/>
      <c r="BB46" s="758"/>
      <c r="BC46" s="758"/>
      <c r="BD46" s="758"/>
      <c r="BE46" s="758"/>
      <c r="BF46" s="758"/>
      <c r="BG46" s="758"/>
      <c r="BH46" s="758"/>
      <c r="BI46" s="758"/>
      <c r="BJ46" s="758"/>
      <c r="BK46" s="758"/>
      <c r="BL46" s="758"/>
      <c r="BM46" s="758"/>
      <c r="BN46" s="758"/>
      <c r="BO46" s="758"/>
      <c r="BP46" s="758"/>
      <c r="BQ46" s="758"/>
      <c r="BR46" s="758"/>
      <c r="BS46" s="758"/>
      <c r="BT46" s="758"/>
      <c r="BU46" s="758"/>
      <c r="BV46" s="758"/>
      <c r="BW46" s="758"/>
      <c r="BX46" s="758"/>
      <c r="BY46" s="758"/>
      <c r="BZ46" s="758"/>
      <c r="CA46" s="758"/>
      <c r="CB46" s="758"/>
      <c r="CC46" s="758"/>
      <c r="CD46" s="758"/>
      <c r="CE46" s="758"/>
      <c r="CF46" s="758"/>
      <c r="CG46" s="758"/>
      <c r="CH46" s="758"/>
      <c r="CI46" s="758"/>
      <c r="CJ46" s="758"/>
      <c r="CK46" s="758"/>
      <c r="CL46" s="758"/>
      <c r="CM46" s="758"/>
      <c r="CN46" s="753"/>
      <c r="CO46" s="753"/>
      <c r="CP46" s="753"/>
      <c r="CQ46" s="753"/>
      <c r="CR46" s="753"/>
      <c r="CS46" s="753"/>
      <c r="CT46" s="753"/>
      <c r="CU46" s="753"/>
      <c r="CV46" s="753"/>
      <c r="CW46" s="753"/>
      <c r="CX46" s="753"/>
      <c r="CY46" s="753"/>
      <c r="CZ46" s="753"/>
      <c r="DA46" s="753"/>
      <c r="DB46" s="753"/>
      <c r="DC46" s="753"/>
      <c r="DD46" s="753"/>
      <c r="DE46" s="753"/>
      <c r="DF46" s="753"/>
      <c r="DG46" s="753"/>
      <c r="DH46" s="753"/>
      <c r="DI46" s="753"/>
      <c r="DJ46" s="753"/>
      <c r="DK46" s="753"/>
      <c r="DL46" s="753"/>
      <c r="DM46" s="776"/>
      <c r="DN46" s="758"/>
      <c r="DO46" s="758"/>
      <c r="DP46" s="758"/>
      <c r="DQ46" s="758"/>
      <c r="DR46" s="758"/>
      <c r="DS46" s="758"/>
      <c r="DT46" s="758"/>
      <c r="DU46" s="758"/>
      <c r="DV46" s="758"/>
      <c r="DW46" s="819"/>
      <c r="DX46" s="758"/>
      <c r="DY46" s="758"/>
      <c r="DZ46" s="758"/>
      <c r="EA46" s="758"/>
      <c r="EB46" s="758"/>
      <c r="EC46" s="758"/>
      <c r="ED46" s="758"/>
      <c r="EE46" s="758"/>
      <c r="EF46" s="758"/>
      <c r="EG46" s="758"/>
      <c r="EH46" s="758"/>
      <c r="EI46" s="758"/>
      <c r="EJ46" s="758"/>
      <c r="EK46" s="758"/>
      <c r="EL46" s="758"/>
      <c r="EM46" s="758"/>
      <c r="EN46" s="758"/>
      <c r="EO46" s="758"/>
      <c r="EP46" s="758"/>
      <c r="EQ46" s="758"/>
      <c r="ER46" s="758"/>
      <c r="ES46" s="758"/>
      <c r="ET46" s="758"/>
      <c r="EU46" s="758"/>
      <c r="EV46" s="758"/>
      <c r="EW46" s="758"/>
      <c r="EX46" s="758"/>
      <c r="EY46" s="758"/>
      <c r="EZ46" s="758"/>
      <c r="FA46" s="758"/>
      <c r="FB46" s="758"/>
      <c r="FC46" s="758"/>
      <c r="FD46" s="758"/>
      <c r="FE46" s="758"/>
      <c r="FF46" s="758"/>
      <c r="FG46" s="758"/>
      <c r="FH46" s="758"/>
      <c r="FI46" s="758"/>
      <c r="FJ46" s="758"/>
      <c r="FK46" s="758"/>
      <c r="FL46" s="758"/>
      <c r="FM46" s="758"/>
      <c r="FN46" s="758"/>
      <c r="FO46" s="758"/>
      <c r="FP46" s="758"/>
      <c r="FQ46" s="758"/>
      <c r="FR46" s="758"/>
      <c r="FS46" s="758"/>
      <c r="FT46" s="758"/>
      <c r="FU46" s="758"/>
      <c r="FV46" s="758"/>
      <c r="FW46" s="758"/>
      <c r="FX46" s="758"/>
      <c r="FY46" s="758"/>
      <c r="FZ46" s="758"/>
      <c r="GA46" s="758"/>
      <c r="GB46" s="758"/>
      <c r="GC46" s="758"/>
      <c r="GD46" s="758"/>
      <c r="GE46" s="758"/>
      <c r="GF46" s="758"/>
      <c r="GG46" s="758"/>
      <c r="GH46" s="758"/>
      <c r="GI46" s="758"/>
      <c r="GJ46" s="758"/>
      <c r="GK46" s="758"/>
      <c r="GL46" s="758"/>
      <c r="GM46" s="758"/>
      <c r="GN46" s="758"/>
      <c r="GO46" s="758"/>
      <c r="GP46" s="758"/>
      <c r="GQ46" s="758"/>
      <c r="GR46" s="758"/>
      <c r="GS46" s="758"/>
      <c r="GT46" s="758"/>
      <c r="GU46" s="758"/>
      <c r="GV46" s="758"/>
      <c r="GW46" s="758"/>
      <c r="GX46" s="758"/>
      <c r="GY46" s="758"/>
      <c r="GZ46" s="758"/>
      <c r="HA46" s="758"/>
      <c r="HB46" s="758"/>
      <c r="HC46" s="758"/>
      <c r="HD46" s="758"/>
      <c r="HE46" s="758"/>
      <c r="HF46" s="758"/>
      <c r="HG46" s="758"/>
      <c r="HH46" s="758"/>
      <c r="HI46" s="758"/>
      <c r="HJ46" s="758"/>
      <c r="HK46" s="758"/>
      <c r="HL46" s="758"/>
      <c r="HM46" s="758"/>
      <c r="HN46" s="758"/>
      <c r="HO46" s="758"/>
      <c r="HP46" s="758"/>
      <c r="HQ46" s="758"/>
      <c r="HR46" s="758"/>
      <c r="HS46" s="758"/>
      <c r="HT46" s="758"/>
      <c r="HU46" s="758"/>
      <c r="HV46" s="758"/>
      <c r="HW46" s="758"/>
      <c r="HX46" s="758"/>
      <c r="HY46" s="758"/>
      <c r="HZ46" s="758"/>
      <c r="IA46" s="758"/>
      <c r="IB46" s="758"/>
      <c r="IC46" s="758"/>
      <c r="ID46" s="758"/>
      <c r="IE46" s="758"/>
      <c r="IF46" s="758"/>
      <c r="IG46" s="758"/>
      <c r="IH46" s="758"/>
      <c r="II46" s="758"/>
      <c r="IJ46" s="758"/>
      <c r="IK46" s="758"/>
      <c r="IL46" s="758"/>
      <c r="IM46" s="758"/>
      <c r="IN46" s="758"/>
      <c r="IO46" s="758"/>
      <c r="IP46" s="758"/>
      <c r="IQ46" s="758"/>
      <c r="IR46" s="758"/>
      <c r="IS46" s="758"/>
      <c r="IT46" s="758"/>
      <c r="IU46" s="758"/>
      <c r="IV46" s="758"/>
      <c r="IW46" s="758"/>
      <c r="IX46" s="758"/>
      <c r="IY46" s="758"/>
      <c r="IZ46" s="758"/>
      <c r="JA46" s="758"/>
      <c r="JB46" s="758"/>
      <c r="JC46" s="758"/>
      <c r="JD46" s="758"/>
      <c r="JE46" s="758"/>
      <c r="JF46" s="758"/>
      <c r="JG46" s="758"/>
      <c r="JH46" s="758"/>
      <c r="JI46" s="758"/>
      <c r="JJ46" s="758"/>
      <c r="JK46" s="758"/>
      <c r="JL46" s="758"/>
      <c r="JM46" s="758"/>
      <c r="JN46" s="758"/>
      <c r="JO46" s="758"/>
      <c r="JP46" s="758"/>
      <c r="JQ46" s="758"/>
      <c r="JR46" s="758"/>
      <c r="JS46" s="758"/>
      <c r="JT46" s="758"/>
      <c r="JU46" s="758"/>
      <c r="JV46" s="758"/>
      <c r="JW46" s="758"/>
      <c r="JX46" s="758"/>
      <c r="JY46" s="758"/>
      <c r="JZ46" s="758"/>
      <c r="KA46" s="758"/>
      <c r="KB46" s="758"/>
      <c r="KC46" s="758"/>
      <c r="KD46" s="758"/>
      <c r="KE46" s="758"/>
      <c r="KF46" s="758"/>
      <c r="KG46" s="758"/>
      <c r="KH46" s="758"/>
      <c r="KI46" s="758"/>
      <c r="KJ46" s="758"/>
      <c r="KK46" s="758"/>
      <c r="KL46" s="758"/>
      <c r="KM46" s="758"/>
      <c r="KN46" s="758"/>
      <c r="KO46" s="758"/>
      <c r="KP46" s="758"/>
      <c r="KQ46" s="758"/>
      <c r="KR46" s="758"/>
      <c r="KS46" s="758"/>
      <c r="KT46" s="758"/>
      <c r="KU46" s="758"/>
      <c r="KV46" s="758"/>
      <c r="KW46" s="758"/>
      <c r="KX46" s="758"/>
      <c r="KY46" s="758"/>
      <c r="KZ46" s="758"/>
      <c r="LA46" s="758"/>
      <c r="LB46" s="758"/>
      <c r="LC46" s="758"/>
      <c r="LD46" s="758"/>
      <c r="LE46" s="758"/>
      <c r="LF46" s="758"/>
      <c r="LG46" s="758"/>
      <c r="LH46" s="758"/>
      <c r="LI46" s="758"/>
      <c r="LJ46" s="758"/>
      <c r="LK46" s="758"/>
      <c r="LL46" s="758"/>
      <c r="LM46" s="758"/>
      <c r="LN46" s="758"/>
      <c r="LO46" s="758"/>
      <c r="LP46" s="758"/>
      <c r="LQ46" s="758"/>
      <c r="LR46" s="758"/>
      <c r="LS46" s="758"/>
      <c r="LT46" s="758"/>
      <c r="LU46" s="758"/>
      <c r="LV46" s="758"/>
      <c r="LW46" s="758"/>
      <c r="LX46" s="758"/>
      <c r="LY46" s="758"/>
      <c r="LZ46" s="758"/>
      <c r="MA46" s="758"/>
      <c r="MB46" s="758"/>
      <c r="MC46" s="758"/>
      <c r="MD46" s="758"/>
      <c r="ME46" s="758"/>
      <c r="MF46" s="758"/>
      <c r="MG46" s="758"/>
      <c r="MH46" s="758"/>
      <c r="MI46" s="758"/>
      <c r="MJ46" s="758"/>
      <c r="MK46" s="758"/>
      <c r="ML46" s="758"/>
      <c r="MM46" s="758"/>
      <c r="MN46" s="758"/>
      <c r="MO46" s="758"/>
      <c r="MP46" s="758"/>
      <c r="MQ46" s="758"/>
      <c r="MR46" s="758"/>
      <c r="MS46" s="758"/>
      <c r="MT46" s="758"/>
      <c r="MU46" s="758"/>
      <c r="MV46" s="758"/>
      <c r="MW46" s="758"/>
      <c r="MX46" s="758"/>
      <c r="MY46" s="758"/>
      <c r="MZ46" s="758"/>
      <c r="NA46" s="758"/>
      <c r="NB46" s="758"/>
      <c r="NC46" s="758"/>
      <c r="ND46" s="758"/>
      <c r="NE46" s="758"/>
    </row>
    <row r="47" spans="1:369" ht="12.75" customHeight="1">
      <c r="A47" s="857"/>
      <c r="B47" s="780"/>
      <c r="C47" s="89"/>
      <c r="D47" s="990" t="s">
        <v>1083</v>
      </c>
      <c r="E47" s="780"/>
      <c r="F47" s="780"/>
      <c r="G47" s="780"/>
      <c r="H47" s="780"/>
      <c r="I47" s="829"/>
      <c r="J47" s="1127" t="s">
        <v>25</v>
      </c>
      <c r="K47" s="1125"/>
      <c r="L47" s="1063"/>
      <c r="M47" s="1063"/>
      <c r="N47" s="1063"/>
      <c r="O47" s="1063"/>
      <c r="P47" s="1063"/>
      <c r="S47" s="1063"/>
      <c r="T47" s="1063"/>
      <c r="U47" s="1063"/>
      <c r="V47" s="1076"/>
      <c r="W47" s="1076"/>
      <c r="X47" s="1088"/>
      <c r="Y47" s="1088"/>
      <c r="Z47" s="1088"/>
      <c r="AA47" s="758"/>
      <c r="AB47" s="758"/>
      <c r="AC47" s="758"/>
      <c r="AD47" s="758"/>
      <c r="AE47" s="758"/>
      <c r="AF47" s="758"/>
      <c r="AG47" s="758"/>
      <c r="AH47" s="758"/>
      <c r="AI47" s="841"/>
      <c r="AJ47" s="841" t="s">
        <v>1080</v>
      </c>
      <c r="AK47" s="1031"/>
      <c r="AL47" s="1031"/>
      <c r="AM47" s="1031"/>
      <c r="AN47" s="1031"/>
      <c r="AO47" s="1031"/>
      <c r="AP47" s="758"/>
      <c r="AQ47" s="758"/>
      <c r="AR47" s="758"/>
      <c r="AS47" s="758"/>
      <c r="AT47" s="758"/>
      <c r="AU47" s="758"/>
      <c r="AV47" s="758"/>
      <c r="AW47" s="758"/>
      <c r="AX47" s="758"/>
      <c r="AY47" s="758"/>
      <c r="AZ47" s="758"/>
      <c r="BA47" s="758"/>
      <c r="BB47" s="758"/>
      <c r="BC47" s="758"/>
      <c r="BD47" s="758"/>
      <c r="BE47" s="758"/>
      <c r="BF47" s="758"/>
      <c r="BG47" s="758"/>
      <c r="BH47" s="758"/>
      <c r="BI47" s="758"/>
      <c r="BJ47" s="758"/>
      <c r="BK47" s="758"/>
      <c r="BL47" s="758"/>
      <c r="BM47" s="758"/>
      <c r="BN47" s="758"/>
      <c r="BO47" s="758"/>
      <c r="BP47" s="758"/>
      <c r="BQ47" s="758"/>
      <c r="BR47" s="758"/>
      <c r="BS47" s="758"/>
      <c r="BT47" s="758"/>
      <c r="BU47" s="758"/>
      <c r="BV47" s="758"/>
      <c r="BW47" s="758"/>
      <c r="BX47" s="758"/>
      <c r="BY47" s="758"/>
      <c r="BZ47" s="758"/>
      <c r="CA47" s="758"/>
      <c r="CB47" s="758"/>
      <c r="CC47" s="758"/>
      <c r="CD47" s="758"/>
      <c r="CE47" s="758"/>
      <c r="CF47" s="758"/>
      <c r="CG47" s="758"/>
      <c r="CH47" s="758"/>
      <c r="CI47" s="758"/>
      <c r="CJ47" s="758"/>
      <c r="CK47" s="758"/>
      <c r="CL47" s="758"/>
      <c r="CM47" s="758"/>
      <c r="CN47" s="753"/>
      <c r="CO47" s="753"/>
      <c r="CP47" s="753"/>
      <c r="CQ47" s="753"/>
      <c r="CR47" s="753"/>
      <c r="CS47" s="753"/>
      <c r="CT47" s="753"/>
      <c r="CU47" s="753"/>
      <c r="CV47" s="753"/>
      <c r="CW47" s="753"/>
      <c r="CX47" s="753"/>
      <c r="CY47" s="753"/>
      <c r="CZ47" s="753"/>
      <c r="DA47" s="753"/>
      <c r="DB47" s="753"/>
      <c r="DC47" s="753"/>
      <c r="DD47" s="753"/>
      <c r="DE47" s="753"/>
      <c r="DF47" s="753"/>
      <c r="DG47" s="753"/>
      <c r="DH47" s="753"/>
      <c r="DI47" s="753"/>
      <c r="DJ47" s="753"/>
      <c r="DK47" s="753"/>
      <c r="DL47" s="753"/>
      <c r="DM47" s="776"/>
      <c r="DN47" s="758"/>
      <c r="DO47" s="758"/>
      <c r="DP47" s="758"/>
      <c r="DQ47" s="758"/>
      <c r="DR47" s="753"/>
      <c r="DS47" s="778"/>
      <c r="DT47" s="770"/>
      <c r="DU47" s="758"/>
      <c r="DV47" s="758"/>
      <c r="DW47" s="819"/>
      <c r="DX47" s="758"/>
      <c r="DY47" s="758"/>
      <c r="DZ47" s="758"/>
      <c r="EA47" s="758"/>
      <c r="EB47" s="758"/>
      <c r="EC47" s="758"/>
      <c r="ED47" s="758"/>
      <c r="EE47" s="758"/>
      <c r="EF47" s="758"/>
      <c r="EG47" s="758"/>
      <c r="EH47" s="758"/>
      <c r="EI47" s="758"/>
      <c r="EJ47" s="758"/>
      <c r="EK47" s="758"/>
      <c r="EL47" s="758"/>
      <c r="EM47" s="758"/>
      <c r="EN47" s="758"/>
      <c r="EO47" s="758"/>
      <c r="EP47" s="758"/>
      <c r="EQ47" s="758"/>
      <c r="ER47" s="758"/>
      <c r="ES47" s="758"/>
      <c r="ET47" s="758"/>
      <c r="EU47" s="758"/>
      <c r="EV47" s="758"/>
      <c r="EW47" s="758"/>
      <c r="EX47" s="758"/>
      <c r="EY47" s="758"/>
      <c r="EZ47" s="758"/>
      <c r="FA47" s="758"/>
      <c r="FB47" s="758"/>
      <c r="FC47" s="758"/>
      <c r="FD47" s="758"/>
      <c r="FE47" s="758"/>
      <c r="FF47" s="758"/>
      <c r="FG47" s="758"/>
      <c r="FH47" s="758"/>
      <c r="FI47" s="758"/>
      <c r="FJ47" s="758"/>
      <c r="FK47" s="758"/>
      <c r="FL47" s="758"/>
      <c r="FM47" s="758"/>
      <c r="FN47" s="758"/>
      <c r="FO47" s="758"/>
      <c r="FP47" s="758"/>
      <c r="FQ47" s="758"/>
      <c r="FR47" s="758"/>
      <c r="FS47" s="758"/>
      <c r="FT47" s="758"/>
      <c r="FU47" s="758"/>
      <c r="FV47" s="758"/>
      <c r="FW47" s="758"/>
      <c r="FX47" s="758"/>
      <c r="FY47" s="758"/>
      <c r="FZ47" s="758"/>
      <c r="GA47" s="758"/>
      <c r="GB47" s="758"/>
      <c r="GC47" s="758"/>
      <c r="GD47" s="758"/>
      <c r="GE47" s="758"/>
      <c r="GF47" s="758"/>
      <c r="GG47" s="758"/>
      <c r="GH47" s="758"/>
      <c r="GI47" s="758"/>
      <c r="GJ47" s="758"/>
      <c r="GK47" s="758"/>
      <c r="GL47" s="758"/>
      <c r="GM47" s="758"/>
      <c r="GN47" s="758"/>
      <c r="GO47" s="758"/>
      <c r="GP47" s="758"/>
      <c r="GQ47" s="758"/>
      <c r="GR47" s="758"/>
      <c r="GS47" s="758"/>
      <c r="GT47" s="758"/>
      <c r="GU47" s="758"/>
      <c r="GV47" s="758"/>
      <c r="GW47" s="758"/>
      <c r="GX47" s="758"/>
      <c r="GY47" s="758"/>
      <c r="GZ47" s="758"/>
      <c r="HA47" s="758"/>
      <c r="HB47" s="758"/>
      <c r="HC47" s="758"/>
      <c r="HD47" s="758"/>
      <c r="HE47" s="758"/>
      <c r="HF47" s="758"/>
      <c r="HG47" s="758"/>
      <c r="HH47" s="758"/>
      <c r="HI47" s="758"/>
      <c r="HJ47" s="758"/>
      <c r="HK47" s="758"/>
      <c r="HL47" s="758"/>
      <c r="HM47" s="758"/>
      <c r="HN47" s="758"/>
      <c r="HO47" s="758"/>
      <c r="HP47" s="758"/>
      <c r="HQ47" s="758"/>
      <c r="HR47" s="758"/>
      <c r="HS47" s="758"/>
      <c r="HT47" s="758"/>
      <c r="HU47" s="758"/>
      <c r="HV47" s="758"/>
      <c r="HW47" s="758"/>
      <c r="HX47" s="758"/>
      <c r="HY47" s="758"/>
      <c r="HZ47" s="758"/>
      <c r="IA47" s="758"/>
      <c r="IB47" s="758"/>
      <c r="IC47" s="758"/>
      <c r="ID47" s="758"/>
      <c r="IE47" s="758"/>
      <c r="IF47" s="758"/>
      <c r="IG47" s="758"/>
      <c r="IH47" s="758"/>
      <c r="II47" s="758"/>
      <c r="IJ47" s="758"/>
      <c r="IK47" s="758"/>
      <c r="IL47" s="758"/>
      <c r="IM47" s="758"/>
      <c r="IN47" s="758"/>
      <c r="IO47" s="758"/>
      <c r="IP47" s="758"/>
      <c r="IQ47" s="758"/>
      <c r="IR47" s="758"/>
      <c r="IS47" s="758"/>
      <c r="IT47" s="758"/>
      <c r="IU47" s="758"/>
      <c r="IV47" s="758"/>
      <c r="IW47" s="758"/>
      <c r="IX47" s="758"/>
      <c r="IY47" s="758"/>
      <c r="IZ47" s="758"/>
      <c r="JA47" s="758"/>
      <c r="JB47" s="758"/>
      <c r="JC47" s="758"/>
      <c r="JD47" s="758"/>
      <c r="JE47" s="758"/>
      <c r="JF47" s="758"/>
      <c r="JG47" s="758"/>
      <c r="JH47" s="758"/>
      <c r="JI47" s="758"/>
      <c r="JJ47" s="758"/>
      <c r="JK47" s="758"/>
      <c r="JL47" s="758"/>
      <c r="JM47" s="758"/>
      <c r="JN47" s="758"/>
      <c r="JO47" s="758"/>
      <c r="JP47" s="758"/>
      <c r="JQ47" s="758"/>
      <c r="JR47" s="758"/>
      <c r="JS47" s="758"/>
      <c r="JT47" s="758"/>
      <c r="JU47" s="758"/>
      <c r="JV47" s="758"/>
      <c r="JW47" s="758"/>
      <c r="JX47" s="758"/>
      <c r="JY47" s="758"/>
      <c r="JZ47" s="758"/>
      <c r="KA47" s="758"/>
      <c r="KB47" s="758"/>
      <c r="KC47" s="758"/>
      <c r="KD47" s="758"/>
      <c r="KE47" s="758"/>
      <c r="KF47" s="758"/>
      <c r="KG47" s="758"/>
      <c r="KH47" s="758"/>
      <c r="KI47" s="758"/>
      <c r="KJ47" s="758"/>
      <c r="KK47" s="758"/>
      <c r="KL47" s="758"/>
      <c r="KM47" s="758"/>
      <c r="KN47" s="758"/>
      <c r="KO47" s="758"/>
      <c r="KP47" s="758"/>
      <c r="KQ47" s="758"/>
      <c r="KR47" s="758"/>
      <c r="KS47" s="758"/>
      <c r="KT47" s="758"/>
      <c r="KU47" s="758"/>
      <c r="KV47" s="758"/>
      <c r="KW47" s="758"/>
      <c r="KX47" s="758"/>
      <c r="KY47" s="758"/>
      <c r="KZ47" s="758"/>
      <c r="LA47" s="758"/>
      <c r="LB47" s="758"/>
      <c r="LC47" s="758"/>
      <c r="LD47" s="758"/>
      <c r="LE47" s="758"/>
      <c r="LF47" s="758"/>
      <c r="LG47" s="758"/>
      <c r="LH47" s="758"/>
      <c r="LI47" s="758"/>
      <c r="LJ47" s="758"/>
      <c r="LK47" s="758"/>
      <c r="LL47" s="758"/>
      <c r="LM47" s="758"/>
      <c r="LN47" s="758"/>
      <c r="LO47" s="758"/>
      <c r="LP47" s="758"/>
      <c r="LQ47" s="758"/>
      <c r="LR47" s="758"/>
      <c r="LS47" s="758"/>
      <c r="LT47" s="758"/>
      <c r="LU47" s="758"/>
      <c r="LV47" s="758"/>
      <c r="LW47" s="758"/>
      <c r="LX47" s="758"/>
      <c r="LY47" s="758"/>
      <c r="LZ47" s="758"/>
      <c r="MA47" s="758"/>
      <c r="MB47" s="758"/>
      <c r="MC47" s="758"/>
      <c r="MD47" s="758"/>
      <c r="ME47" s="758"/>
      <c r="MF47" s="758"/>
      <c r="MG47" s="758"/>
      <c r="MH47" s="758"/>
      <c r="MI47" s="758"/>
      <c r="MJ47" s="758"/>
      <c r="MK47" s="758"/>
      <c r="ML47" s="758"/>
      <c r="MM47" s="758"/>
      <c r="MN47" s="758"/>
      <c r="MO47" s="758"/>
      <c r="MP47" s="758"/>
      <c r="MQ47" s="758"/>
      <c r="MR47" s="758"/>
      <c r="MS47" s="758"/>
      <c r="MT47" s="758"/>
      <c r="MU47" s="758"/>
      <c r="MV47" s="758"/>
      <c r="MW47" s="758"/>
      <c r="MX47" s="758"/>
      <c r="MY47" s="758"/>
      <c r="MZ47" s="758"/>
      <c r="NA47" s="758"/>
      <c r="NB47" s="758"/>
      <c r="NC47" s="758"/>
      <c r="ND47" s="758"/>
      <c r="NE47" s="758"/>
    </row>
    <row r="48" spans="1:369" ht="12.75" customHeight="1">
      <c r="A48" s="854" t="s">
        <v>1084</v>
      </c>
      <c r="B48" s="753"/>
      <c r="C48" s="33"/>
      <c r="D48" s="773"/>
      <c r="E48" s="773"/>
      <c r="F48" s="773"/>
      <c r="G48" s="773"/>
      <c r="H48" s="773"/>
      <c r="I48" s="836"/>
      <c r="J48" s="1061"/>
      <c r="K48" s="1125"/>
      <c r="L48" s="1063"/>
      <c r="M48" s="1063"/>
      <c r="N48" s="1063"/>
      <c r="O48" s="1063"/>
      <c r="P48" s="1063"/>
      <c r="T48" s="1110"/>
      <c r="U48" s="1110"/>
      <c r="V48" s="1129"/>
      <c r="W48" s="1129"/>
      <c r="X48" s="1063"/>
      <c r="Y48" s="1088"/>
      <c r="Z48" s="1088"/>
      <c r="AA48" s="758"/>
      <c r="AB48" s="758"/>
      <c r="AC48" s="758"/>
      <c r="AD48" s="758"/>
      <c r="AE48" s="758"/>
      <c r="AF48" s="758"/>
      <c r="AG48" s="758"/>
      <c r="AH48" s="758"/>
      <c r="AI48" s="1034"/>
      <c r="AJ48" s="1034"/>
      <c r="AK48" s="1034"/>
      <c r="AL48" s="1034"/>
      <c r="AM48" s="1034"/>
      <c r="AN48" s="1034"/>
      <c r="AO48" s="1034"/>
      <c r="AP48" s="758"/>
      <c r="AQ48" s="758"/>
      <c r="AR48" s="758"/>
      <c r="AS48" s="758"/>
      <c r="AT48" s="758"/>
      <c r="AU48" s="758"/>
      <c r="AV48" s="758"/>
      <c r="AW48" s="758"/>
      <c r="AX48" s="758"/>
      <c r="AY48" s="758"/>
      <c r="AZ48" s="758"/>
      <c r="BA48" s="758"/>
      <c r="BB48" s="758"/>
      <c r="BC48" s="758"/>
      <c r="BD48" s="758"/>
      <c r="BE48" s="758"/>
      <c r="BF48" s="758"/>
      <c r="BG48" s="758"/>
      <c r="BH48" s="758"/>
      <c r="BI48" s="758"/>
      <c r="BJ48" s="758"/>
      <c r="BK48" s="758"/>
      <c r="BL48" s="758"/>
      <c r="BM48" s="758"/>
      <c r="BN48" s="758"/>
      <c r="BO48" s="758"/>
      <c r="BP48" s="758"/>
      <c r="BQ48" s="758"/>
      <c r="BR48" s="758"/>
      <c r="BS48" s="758"/>
      <c r="BT48" s="758"/>
      <c r="BU48" s="758"/>
      <c r="BV48" s="758"/>
      <c r="BW48" s="758"/>
      <c r="BX48" s="758"/>
      <c r="BY48" s="758"/>
      <c r="BZ48" s="758"/>
      <c r="CA48" s="758"/>
      <c r="CB48" s="758"/>
      <c r="CC48" s="758"/>
      <c r="CD48" s="758"/>
      <c r="CE48" s="758"/>
      <c r="CF48" s="758"/>
      <c r="CG48" s="758"/>
      <c r="CH48" s="758"/>
      <c r="CI48" s="758"/>
      <c r="CJ48" s="758"/>
      <c r="CK48" s="758"/>
      <c r="CL48" s="758"/>
      <c r="CM48" s="758"/>
      <c r="CN48" s="753"/>
      <c r="CO48" s="753"/>
      <c r="CP48" s="753"/>
      <c r="CQ48" s="753"/>
      <c r="CR48" s="753"/>
      <c r="CS48" s="753"/>
      <c r="CT48" s="753"/>
      <c r="CU48" s="753"/>
      <c r="CV48" s="753"/>
      <c r="CW48" s="753"/>
      <c r="CX48" s="753"/>
      <c r="CY48" s="753"/>
      <c r="CZ48" s="753"/>
      <c r="DA48" s="753"/>
      <c r="DB48" s="753"/>
      <c r="DC48" s="753"/>
      <c r="DD48" s="753"/>
      <c r="DE48" s="753"/>
      <c r="DF48" s="753"/>
      <c r="DG48" s="753"/>
      <c r="DH48" s="753"/>
      <c r="DI48" s="753"/>
      <c r="DJ48" s="753"/>
      <c r="DK48" s="753"/>
      <c r="DL48" s="753"/>
      <c r="DM48" s="776"/>
      <c r="DN48" s="758"/>
      <c r="DO48" s="758"/>
      <c r="DP48" s="758"/>
      <c r="DQ48" s="758"/>
      <c r="DR48" s="753"/>
      <c r="DS48" s="778"/>
      <c r="DT48" s="770"/>
      <c r="DU48" s="758"/>
      <c r="DV48" s="758"/>
      <c r="DW48" s="819"/>
      <c r="DX48" s="758"/>
      <c r="DY48" s="758"/>
      <c r="DZ48" s="758"/>
      <c r="EA48" s="758"/>
      <c r="EB48" s="758"/>
      <c r="EC48" s="758"/>
      <c r="ED48" s="758"/>
      <c r="EE48" s="758"/>
      <c r="EF48" s="758"/>
      <c r="EG48" s="758"/>
      <c r="EH48" s="758"/>
      <c r="EI48" s="758"/>
      <c r="EJ48" s="758"/>
      <c r="EK48" s="758"/>
      <c r="EL48" s="758"/>
      <c r="EM48" s="758"/>
      <c r="EN48" s="758"/>
      <c r="EO48" s="758"/>
      <c r="EP48" s="758"/>
      <c r="EQ48" s="758"/>
      <c r="ER48" s="758"/>
      <c r="ES48" s="758"/>
      <c r="ET48" s="758"/>
      <c r="EU48" s="758"/>
      <c r="EV48" s="758"/>
      <c r="EW48" s="758"/>
      <c r="EX48" s="758"/>
      <c r="EY48" s="758"/>
      <c r="EZ48" s="758"/>
      <c r="FA48" s="758"/>
      <c r="FB48" s="758"/>
      <c r="FC48" s="758"/>
      <c r="FD48" s="758"/>
      <c r="FE48" s="758"/>
      <c r="FF48" s="758"/>
      <c r="FG48" s="758"/>
      <c r="FH48" s="758"/>
      <c r="FI48" s="758"/>
      <c r="FJ48" s="758"/>
      <c r="FK48" s="758"/>
      <c r="FL48" s="758"/>
      <c r="FM48" s="758"/>
      <c r="FN48" s="758"/>
      <c r="FO48" s="758"/>
      <c r="FP48" s="758"/>
      <c r="FQ48" s="758"/>
      <c r="FR48" s="758"/>
      <c r="FS48" s="758"/>
      <c r="FT48" s="758"/>
      <c r="FU48" s="758"/>
      <c r="FV48" s="758"/>
      <c r="FW48" s="758"/>
      <c r="FX48" s="758"/>
      <c r="FY48" s="758"/>
      <c r="FZ48" s="758"/>
      <c r="GA48" s="758"/>
      <c r="GB48" s="758"/>
      <c r="GC48" s="758"/>
      <c r="GD48" s="758"/>
      <c r="GE48" s="758"/>
      <c r="GF48" s="758"/>
      <c r="GG48" s="758"/>
      <c r="GH48" s="758"/>
      <c r="GI48" s="758"/>
      <c r="GJ48" s="758"/>
      <c r="GK48" s="758"/>
      <c r="GL48" s="758"/>
      <c r="GM48" s="758"/>
      <c r="GN48" s="758"/>
      <c r="GO48" s="758"/>
      <c r="GP48" s="758"/>
      <c r="GQ48" s="758"/>
      <c r="GR48" s="758"/>
      <c r="GS48" s="758"/>
      <c r="GT48" s="758"/>
      <c r="GU48" s="758"/>
      <c r="GV48" s="758"/>
      <c r="GW48" s="758"/>
      <c r="GX48" s="758"/>
      <c r="GY48" s="758"/>
      <c r="GZ48" s="758"/>
      <c r="HA48" s="758"/>
      <c r="HB48" s="758"/>
      <c r="HC48" s="758"/>
      <c r="HD48" s="758"/>
      <c r="HE48" s="758"/>
      <c r="HF48" s="758"/>
      <c r="HG48" s="758"/>
      <c r="HH48" s="758"/>
      <c r="HI48" s="758"/>
      <c r="HJ48" s="758"/>
      <c r="HK48" s="758"/>
      <c r="HL48" s="758"/>
      <c r="HM48" s="758"/>
      <c r="HN48" s="758"/>
      <c r="HO48" s="758"/>
      <c r="HP48" s="758"/>
      <c r="HQ48" s="758"/>
      <c r="HR48" s="758"/>
      <c r="HS48" s="758"/>
      <c r="HT48" s="758"/>
      <c r="HU48" s="758"/>
      <c r="HV48" s="758"/>
      <c r="HW48" s="758"/>
      <c r="HX48" s="758"/>
      <c r="HY48" s="758"/>
      <c r="HZ48" s="758"/>
      <c r="IA48" s="758"/>
      <c r="IB48" s="758"/>
      <c r="IC48" s="758"/>
      <c r="ID48" s="758"/>
      <c r="IE48" s="758"/>
      <c r="IF48" s="758"/>
      <c r="IG48" s="758"/>
      <c r="IH48" s="758"/>
      <c r="II48" s="758"/>
      <c r="IJ48" s="758"/>
      <c r="IK48" s="758"/>
      <c r="IL48" s="758"/>
      <c r="IM48" s="758"/>
      <c r="IN48" s="758"/>
      <c r="IO48" s="758"/>
      <c r="IP48" s="758"/>
      <c r="IQ48" s="758"/>
      <c r="IR48" s="758"/>
      <c r="IS48" s="758"/>
      <c r="IT48" s="758"/>
      <c r="IU48" s="758"/>
      <c r="IV48" s="758"/>
      <c r="IW48" s="758"/>
      <c r="IX48" s="758"/>
      <c r="IY48" s="758"/>
      <c r="IZ48" s="758"/>
      <c r="JA48" s="758"/>
      <c r="JB48" s="758"/>
      <c r="JC48" s="758"/>
      <c r="JD48" s="758"/>
      <c r="JE48" s="758"/>
      <c r="JF48" s="758"/>
      <c r="JG48" s="758"/>
      <c r="JH48" s="758"/>
      <c r="JI48" s="758"/>
      <c r="JJ48" s="758"/>
      <c r="JK48" s="758"/>
      <c r="JL48" s="758"/>
      <c r="JM48" s="758"/>
      <c r="JN48" s="758"/>
      <c r="JO48" s="758"/>
      <c r="JP48" s="758"/>
      <c r="JQ48" s="758"/>
      <c r="JR48" s="758"/>
      <c r="JS48" s="758"/>
      <c r="JT48" s="758"/>
      <c r="JU48" s="758"/>
      <c r="JV48" s="758"/>
      <c r="JW48" s="758"/>
      <c r="JX48" s="758"/>
      <c r="JY48" s="758"/>
      <c r="JZ48" s="758"/>
      <c r="KA48" s="758"/>
      <c r="KB48" s="758"/>
      <c r="KC48" s="758"/>
      <c r="KD48" s="758"/>
      <c r="KE48" s="758"/>
      <c r="KF48" s="758"/>
      <c r="KG48" s="758"/>
      <c r="KH48" s="758"/>
      <c r="KI48" s="758"/>
      <c r="KJ48" s="758"/>
      <c r="KK48" s="758"/>
      <c r="KL48" s="758"/>
      <c r="KM48" s="758"/>
      <c r="KN48" s="758"/>
      <c r="KO48" s="758"/>
      <c r="KP48" s="758"/>
      <c r="KQ48" s="758"/>
      <c r="KR48" s="758"/>
      <c r="KS48" s="758"/>
      <c r="KT48" s="758"/>
      <c r="KU48" s="758"/>
      <c r="KV48" s="758"/>
      <c r="KW48" s="758"/>
      <c r="KX48" s="758"/>
      <c r="KY48" s="758"/>
      <c r="KZ48" s="758"/>
      <c r="LA48" s="758"/>
      <c r="LB48" s="758"/>
      <c r="LC48" s="758"/>
      <c r="LD48" s="758"/>
      <c r="LE48" s="758"/>
      <c r="LF48" s="758"/>
      <c r="LG48" s="758"/>
      <c r="LH48" s="758"/>
      <c r="LI48" s="758"/>
      <c r="LJ48" s="758"/>
      <c r="LK48" s="758"/>
      <c r="LL48" s="758"/>
      <c r="LM48" s="758"/>
      <c r="LN48" s="758"/>
      <c r="LO48" s="758"/>
      <c r="LP48" s="758"/>
      <c r="LQ48" s="758"/>
      <c r="LR48" s="758"/>
      <c r="LS48" s="758"/>
      <c r="LT48" s="758"/>
      <c r="LU48" s="758"/>
      <c r="LV48" s="758"/>
      <c r="LW48" s="758"/>
      <c r="LX48" s="758"/>
      <c r="LY48" s="758"/>
      <c r="LZ48" s="758"/>
      <c r="MA48" s="758"/>
      <c r="MB48" s="758"/>
      <c r="MC48" s="758"/>
      <c r="MD48" s="758"/>
      <c r="ME48" s="758"/>
      <c r="MF48" s="758"/>
      <c r="MG48" s="758"/>
      <c r="MH48" s="758"/>
      <c r="MI48" s="758"/>
      <c r="MJ48" s="758"/>
      <c r="MK48" s="758"/>
      <c r="ML48" s="758"/>
      <c r="MM48" s="758"/>
      <c r="MN48" s="758"/>
      <c r="MO48" s="758"/>
      <c r="MP48" s="758"/>
      <c r="MQ48" s="758"/>
      <c r="MR48" s="758"/>
      <c r="MS48" s="758"/>
      <c r="MT48" s="758"/>
      <c r="MU48" s="758"/>
      <c r="MV48" s="758"/>
      <c r="MW48" s="758"/>
      <c r="MX48" s="758"/>
      <c r="MY48" s="758"/>
      <c r="MZ48" s="758"/>
      <c r="NA48" s="758"/>
      <c r="NB48" s="758"/>
      <c r="NC48" s="758"/>
      <c r="ND48" s="758"/>
      <c r="NE48" s="758"/>
    </row>
    <row r="49" spans="1:369" ht="12.75" customHeight="1">
      <c r="A49" s="892"/>
      <c r="B49" s="784" t="s">
        <v>1085</v>
      </c>
      <c r="C49" s="146">
        <f>IF($C$36="N.A.","N.A.",0.2*$C$30*$C$16)</f>
        <v>32.144128000000002</v>
      </c>
      <c r="D49" s="841" t="s">
        <v>1179</v>
      </c>
      <c r="E49" s="773"/>
      <c r="F49" s="773"/>
      <c r="G49" s="773"/>
      <c r="H49" s="773"/>
      <c r="I49" s="836"/>
      <c r="J49" s="1061"/>
      <c r="K49" s="1125"/>
      <c r="L49" s="1063"/>
      <c r="M49" s="1063"/>
      <c r="N49" s="1063"/>
      <c r="O49" s="1063"/>
      <c r="P49" s="1063"/>
      <c r="T49" s="1110"/>
      <c r="U49" s="1110"/>
      <c r="V49" s="1088"/>
      <c r="W49" s="1088"/>
      <c r="X49" s="1080"/>
      <c r="Y49" s="1088"/>
      <c r="Z49" s="1088"/>
      <c r="AA49" s="758"/>
      <c r="AB49" s="758"/>
      <c r="AC49" s="758"/>
      <c r="AD49" s="758"/>
      <c r="AE49" s="758"/>
      <c r="AF49" s="758"/>
      <c r="AG49" s="758"/>
      <c r="AH49" s="758"/>
      <c r="AI49" s="1034"/>
      <c r="AJ49" s="1034"/>
      <c r="AK49" s="1034"/>
      <c r="AL49" s="1034"/>
      <c r="AM49" s="1034"/>
      <c r="AN49" s="1034"/>
      <c r="AO49" s="1034"/>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3"/>
      <c r="CO49" s="753"/>
      <c r="CP49" s="753"/>
      <c r="CQ49" s="753"/>
      <c r="CR49" s="753"/>
      <c r="CS49" s="753"/>
      <c r="CT49" s="753"/>
      <c r="CU49" s="753"/>
      <c r="CV49" s="753"/>
      <c r="CW49" s="753"/>
      <c r="CX49" s="753"/>
      <c r="CY49" s="753"/>
      <c r="CZ49" s="753"/>
      <c r="DA49" s="753"/>
      <c r="DB49" s="753"/>
      <c r="DC49" s="753"/>
      <c r="DD49" s="753"/>
      <c r="DE49" s="753"/>
      <c r="DF49" s="753"/>
      <c r="DG49" s="753"/>
      <c r="DH49" s="753"/>
      <c r="DI49" s="753"/>
      <c r="DJ49" s="753"/>
      <c r="DK49" s="753"/>
      <c r="DL49" s="753"/>
      <c r="DM49" s="776"/>
      <c r="DN49" s="758"/>
      <c r="DO49" s="758"/>
      <c r="DP49" s="758"/>
      <c r="DQ49" s="758"/>
      <c r="DR49" s="753"/>
      <c r="DS49" s="778"/>
      <c r="DT49" s="770"/>
      <c r="DU49" s="758"/>
      <c r="DV49" s="758"/>
      <c r="DW49" s="819"/>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758"/>
      <c r="EY49" s="758"/>
      <c r="EZ49" s="758"/>
      <c r="FA49" s="758"/>
      <c r="FB49" s="758"/>
      <c r="FC49" s="758"/>
      <c r="FD49" s="758"/>
      <c r="FE49" s="758"/>
      <c r="FF49" s="758"/>
      <c r="FG49" s="758"/>
      <c r="FH49" s="758"/>
      <c r="FI49" s="758"/>
      <c r="FJ49" s="758"/>
      <c r="FK49" s="758"/>
      <c r="FL49" s="758"/>
      <c r="FM49" s="758"/>
      <c r="FN49" s="758"/>
      <c r="FO49" s="758"/>
      <c r="FP49" s="758"/>
      <c r="FQ49" s="758"/>
      <c r="FR49" s="758"/>
      <c r="FS49" s="758"/>
      <c r="FT49" s="758"/>
      <c r="FU49" s="758"/>
      <c r="FV49" s="758"/>
      <c r="FW49" s="758"/>
      <c r="FX49" s="758"/>
      <c r="FY49" s="758"/>
      <c r="FZ49" s="758"/>
      <c r="GA49" s="758"/>
      <c r="GB49" s="758"/>
      <c r="GC49" s="758"/>
      <c r="GD49" s="758"/>
      <c r="GE49" s="758"/>
      <c r="GF49" s="758"/>
      <c r="GG49" s="758"/>
      <c r="GH49" s="758"/>
      <c r="GI49" s="758"/>
      <c r="GJ49" s="758"/>
      <c r="GK49" s="758"/>
      <c r="GL49" s="758"/>
      <c r="GM49" s="758"/>
      <c r="GN49" s="758"/>
      <c r="GO49" s="758"/>
      <c r="GP49" s="758"/>
      <c r="GQ49" s="758"/>
      <c r="GR49" s="758"/>
      <c r="GS49" s="758"/>
      <c r="GT49" s="758"/>
      <c r="GU49" s="758"/>
      <c r="GV49" s="758"/>
      <c r="GW49" s="758"/>
      <c r="GX49" s="758"/>
      <c r="GY49" s="758"/>
      <c r="GZ49" s="758"/>
      <c r="HA49" s="758"/>
      <c r="HB49" s="758"/>
      <c r="HC49" s="758"/>
      <c r="HD49" s="758"/>
      <c r="HE49" s="758"/>
      <c r="HF49" s="758"/>
      <c r="HG49" s="758"/>
      <c r="HH49" s="758"/>
      <c r="HI49" s="758"/>
      <c r="HJ49" s="758"/>
      <c r="HK49" s="758"/>
      <c r="HL49" s="758"/>
      <c r="HM49" s="758"/>
      <c r="HN49" s="758"/>
      <c r="HO49" s="758"/>
      <c r="HP49" s="758"/>
      <c r="HQ49" s="758"/>
      <c r="HR49" s="758"/>
      <c r="HS49" s="758"/>
      <c r="HT49" s="758"/>
      <c r="HU49" s="758"/>
      <c r="HV49" s="758"/>
      <c r="HW49" s="758"/>
      <c r="HX49" s="758"/>
      <c r="HY49" s="758"/>
      <c r="HZ49" s="758"/>
      <c r="IA49" s="758"/>
      <c r="IB49" s="758"/>
      <c r="IC49" s="758"/>
      <c r="ID49" s="758"/>
      <c r="IE49" s="758"/>
      <c r="IF49" s="758"/>
      <c r="IG49" s="758"/>
      <c r="IH49" s="758"/>
      <c r="II49" s="758"/>
      <c r="IJ49" s="758"/>
      <c r="IK49" s="758"/>
      <c r="IL49" s="758"/>
      <c r="IM49" s="758"/>
      <c r="IN49" s="758"/>
      <c r="IO49" s="758"/>
      <c r="IP49" s="758"/>
      <c r="IQ49" s="758"/>
      <c r="IR49" s="758"/>
      <c r="IS49" s="758"/>
      <c r="IT49" s="758"/>
      <c r="IU49" s="758"/>
      <c r="IV49" s="758"/>
      <c r="IW49" s="758"/>
      <c r="IX49" s="758"/>
      <c r="IY49" s="758"/>
      <c r="IZ49" s="758"/>
      <c r="JA49" s="758"/>
      <c r="JB49" s="758"/>
      <c r="JC49" s="758"/>
      <c r="JD49" s="758"/>
      <c r="JE49" s="758"/>
      <c r="JF49" s="758"/>
      <c r="JG49" s="758"/>
      <c r="JH49" s="758"/>
      <c r="JI49" s="758"/>
      <c r="JJ49" s="758"/>
      <c r="JK49" s="758"/>
      <c r="JL49" s="758"/>
      <c r="JM49" s="758"/>
      <c r="JN49" s="758"/>
      <c r="JO49" s="758"/>
      <c r="JP49" s="758"/>
      <c r="JQ49" s="758"/>
      <c r="JR49" s="758"/>
      <c r="JS49" s="758"/>
      <c r="JT49" s="758"/>
      <c r="JU49" s="758"/>
      <c r="JV49" s="758"/>
      <c r="JW49" s="758"/>
      <c r="JX49" s="758"/>
      <c r="JY49" s="758"/>
      <c r="JZ49" s="758"/>
      <c r="KA49" s="758"/>
      <c r="KB49" s="758"/>
      <c r="KC49" s="758"/>
      <c r="KD49" s="758"/>
      <c r="KE49" s="758"/>
      <c r="KF49" s="758"/>
      <c r="KG49" s="758"/>
      <c r="KH49" s="758"/>
      <c r="KI49" s="758"/>
      <c r="KJ49" s="758"/>
      <c r="KK49" s="758"/>
      <c r="KL49" s="758"/>
      <c r="KM49" s="758"/>
      <c r="KN49" s="758"/>
      <c r="KO49" s="758"/>
      <c r="KP49" s="758"/>
      <c r="KQ49" s="758"/>
      <c r="KR49" s="758"/>
      <c r="KS49" s="758"/>
      <c r="KT49" s="758"/>
      <c r="KU49" s="758"/>
      <c r="KV49" s="758"/>
      <c r="KW49" s="758"/>
      <c r="KX49" s="758"/>
      <c r="KY49" s="758"/>
      <c r="KZ49" s="758"/>
      <c r="LA49" s="758"/>
      <c r="LB49" s="758"/>
      <c r="LC49" s="758"/>
      <c r="LD49" s="758"/>
      <c r="LE49" s="758"/>
      <c r="LF49" s="758"/>
      <c r="LG49" s="758"/>
      <c r="LH49" s="758"/>
      <c r="LI49" s="758"/>
      <c r="LJ49" s="758"/>
      <c r="LK49" s="758"/>
      <c r="LL49" s="758"/>
      <c r="LM49" s="758"/>
      <c r="LN49" s="758"/>
      <c r="LO49" s="758"/>
      <c r="LP49" s="758"/>
      <c r="LQ49" s="758"/>
      <c r="LR49" s="758"/>
      <c r="LS49" s="758"/>
      <c r="LT49" s="758"/>
      <c r="LU49" s="758"/>
      <c r="LV49" s="758"/>
      <c r="LW49" s="758"/>
      <c r="LX49" s="758"/>
      <c r="LY49" s="758"/>
      <c r="LZ49" s="758"/>
      <c r="MA49" s="758"/>
      <c r="MB49" s="758"/>
      <c r="MC49" s="758"/>
      <c r="MD49" s="758"/>
      <c r="ME49" s="758"/>
      <c r="MF49" s="758"/>
      <c r="MG49" s="758"/>
      <c r="MH49" s="758"/>
      <c r="MI49" s="758"/>
      <c r="MJ49" s="758"/>
      <c r="MK49" s="758"/>
      <c r="ML49" s="758"/>
      <c r="MM49" s="758"/>
      <c r="MN49" s="758"/>
      <c r="MO49" s="758"/>
      <c r="MP49" s="758"/>
      <c r="MQ49" s="758"/>
      <c r="MR49" s="758"/>
      <c r="MS49" s="758"/>
      <c r="MT49" s="758"/>
      <c r="MU49" s="758"/>
      <c r="MV49" s="758"/>
      <c r="MW49" s="758"/>
      <c r="MX49" s="758"/>
      <c r="MY49" s="758"/>
      <c r="MZ49" s="758"/>
      <c r="NA49" s="758"/>
      <c r="NB49" s="758"/>
      <c r="NC49" s="758"/>
      <c r="ND49" s="758"/>
      <c r="NE49" s="758"/>
    </row>
    <row r="50" spans="1:369" ht="12.75" customHeight="1">
      <c r="A50" s="892"/>
      <c r="B50" s="773"/>
      <c r="C50" s="38"/>
      <c r="D50" s="773"/>
      <c r="E50" s="773"/>
      <c r="F50" s="773"/>
      <c r="G50" s="773"/>
      <c r="H50" s="773"/>
      <c r="I50" s="836"/>
      <c r="J50" s="1061"/>
      <c r="K50" s="1125"/>
      <c r="L50" s="1063"/>
      <c r="M50" s="1063"/>
      <c r="N50" s="1063"/>
      <c r="O50" s="1063"/>
      <c r="P50" s="1063"/>
      <c r="T50" s="1131"/>
      <c r="U50" s="1131"/>
      <c r="V50" s="1061"/>
      <c r="W50" s="1061"/>
      <c r="X50" s="1063"/>
      <c r="Y50" s="1110"/>
      <c r="Z50" s="1110"/>
      <c r="AA50" s="758"/>
      <c r="AB50" s="758"/>
      <c r="AC50" s="758"/>
      <c r="AD50" s="758"/>
      <c r="AE50" s="758"/>
      <c r="AF50" s="758"/>
      <c r="AG50" s="758"/>
      <c r="AH50" s="758"/>
      <c r="AI50" s="1034"/>
      <c r="AJ50" s="1034"/>
      <c r="AK50" s="1034"/>
      <c r="AL50" s="1034"/>
      <c r="AM50" s="1034"/>
      <c r="AN50" s="1034"/>
      <c r="AO50" s="1034"/>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3"/>
      <c r="CO50" s="753"/>
      <c r="CP50" s="753"/>
      <c r="CQ50" s="753"/>
      <c r="CR50" s="753"/>
      <c r="CS50" s="753"/>
      <c r="CT50" s="753"/>
      <c r="CU50" s="753"/>
      <c r="CV50" s="753"/>
      <c r="CW50" s="753"/>
      <c r="CX50" s="753"/>
      <c r="CY50" s="753"/>
      <c r="CZ50" s="753"/>
      <c r="DA50" s="753"/>
      <c r="DB50" s="753"/>
      <c r="DC50" s="753"/>
      <c r="DD50" s="753"/>
      <c r="DE50" s="753"/>
      <c r="DF50" s="753"/>
      <c r="DG50" s="753"/>
      <c r="DH50" s="753"/>
      <c r="DI50" s="753"/>
      <c r="DJ50" s="753"/>
      <c r="DK50" s="753"/>
      <c r="DL50" s="753"/>
      <c r="DM50" s="776"/>
      <c r="DN50" s="758"/>
      <c r="DO50" s="758"/>
      <c r="DP50" s="758"/>
      <c r="DQ50" s="758"/>
      <c r="DR50" s="753"/>
      <c r="DS50" s="778"/>
      <c r="DT50" s="770"/>
      <c r="DU50" s="758"/>
      <c r="DV50" s="758"/>
      <c r="DW50" s="819"/>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758"/>
      <c r="EY50" s="758"/>
      <c r="EZ50" s="758"/>
      <c r="FA50" s="758"/>
      <c r="FB50" s="758"/>
      <c r="FC50" s="758"/>
      <c r="FD50" s="758"/>
      <c r="FE50" s="758"/>
      <c r="FF50" s="758"/>
      <c r="FG50" s="758"/>
      <c r="FH50" s="758"/>
      <c r="FI50" s="758"/>
      <c r="FJ50" s="758"/>
      <c r="FK50" s="758"/>
      <c r="FL50" s="758"/>
      <c r="FM50" s="758"/>
      <c r="FN50" s="758"/>
      <c r="FO50" s="758"/>
      <c r="FP50" s="758"/>
      <c r="FQ50" s="758"/>
      <c r="FR50" s="758"/>
      <c r="FS50" s="758"/>
      <c r="FT50" s="758"/>
      <c r="FU50" s="758"/>
      <c r="FV50" s="758"/>
      <c r="FW50" s="758"/>
      <c r="FX50" s="758"/>
      <c r="FY50" s="758"/>
      <c r="FZ50" s="758"/>
      <c r="GA50" s="758"/>
      <c r="GB50" s="758"/>
      <c r="GC50" s="758"/>
      <c r="GD50" s="758"/>
      <c r="GE50" s="758"/>
      <c r="GF50" s="758"/>
      <c r="GG50" s="758"/>
      <c r="GH50" s="758"/>
      <c r="GI50" s="758"/>
      <c r="GJ50" s="758"/>
      <c r="GK50" s="758"/>
      <c r="GL50" s="758"/>
      <c r="GM50" s="758"/>
      <c r="GN50" s="758"/>
      <c r="GO50" s="758"/>
      <c r="GP50" s="758"/>
      <c r="GQ50" s="758"/>
      <c r="GR50" s="758"/>
      <c r="GS50" s="758"/>
      <c r="GT50" s="758"/>
      <c r="GU50" s="758"/>
      <c r="GV50" s="758"/>
      <c r="GW50" s="758"/>
      <c r="GX50" s="758"/>
      <c r="GY50" s="758"/>
      <c r="GZ50" s="758"/>
      <c r="HA50" s="758"/>
      <c r="HB50" s="758"/>
      <c r="HC50" s="758"/>
      <c r="HD50" s="758"/>
      <c r="HE50" s="758"/>
      <c r="HF50" s="758"/>
      <c r="HG50" s="758"/>
      <c r="HH50" s="758"/>
      <c r="HI50" s="758"/>
      <c r="HJ50" s="758"/>
      <c r="HK50" s="758"/>
      <c r="HL50" s="758"/>
      <c r="HM50" s="758"/>
      <c r="HN50" s="758"/>
      <c r="HO50" s="758"/>
      <c r="HP50" s="758"/>
      <c r="HQ50" s="758"/>
      <c r="HR50" s="758"/>
      <c r="HS50" s="758"/>
      <c r="HT50" s="758"/>
      <c r="HU50" s="758"/>
      <c r="HV50" s="758"/>
      <c r="HW50" s="758"/>
      <c r="HX50" s="758"/>
      <c r="HY50" s="758"/>
      <c r="HZ50" s="758"/>
      <c r="IA50" s="758"/>
      <c r="IB50" s="758"/>
      <c r="IC50" s="758"/>
      <c r="ID50" s="758"/>
      <c r="IE50" s="758"/>
      <c r="IF50" s="758"/>
      <c r="IG50" s="758"/>
      <c r="IH50" s="758"/>
      <c r="II50" s="758"/>
      <c r="IJ50" s="758"/>
      <c r="IK50" s="758"/>
      <c r="IL50" s="758"/>
      <c r="IM50" s="758"/>
      <c r="IN50" s="758"/>
      <c r="IO50" s="758"/>
      <c r="IP50" s="758"/>
      <c r="IQ50" s="758"/>
      <c r="IR50" s="758"/>
      <c r="IS50" s="758"/>
      <c r="IT50" s="758"/>
      <c r="IU50" s="758"/>
      <c r="IV50" s="758"/>
      <c r="IW50" s="758"/>
      <c r="IX50" s="758"/>
      <c r="IY50" s="758"/>
      <c r="IZ50" s="758"/>
      <c r="JA50" s="758"/>
      <c r="JB50" s="758"/>
      <c r="JC50" s="758"/>
      <c r="JD50" s="758"/>
      <c r="JE50" s="758"/>
      <c r="JF50" s="758"/>
      <c r="JG50" s="758"/>
      <c r="JH50" s="758"/>
      <c r="JI50" s="758"/>
      <c r="JJ50" s="758"/>
      <c r="JK50" s="758"/>
      <c r="JL50" s="758"/>
      <c r="JM50" s="758"/>
      <c r="JN50" s="758"/>
      <c r="JO50" s="758"/>
      <c r="JP50" s="758"/>
      <c r="JQ50" s="758"/>
      <c r="JR50" s="758"/>
      <c r="JS50" s="758"/>
      <c r="JT50" s="758"/>
      <c r="JU50" s="758"/>
      <c r="JV50" s="758"/>
      <c r="JW50" s="758"/>
      <c r="JX50" s="758"/>
      <c r="JY50" s="758"/>
      <c r="JZ50" s="758"/>
      <c r="KA50" s="758"/>
      <c r="KB50" s="758"/>
      <c r="KC50" s="758"/>
      <c r="KD50" s="758"/>
      <c r="KE50" s="758"/>
      <c r="KF50" s="758"/>
      <c r="KG50" s="758"/>
      <c r="KH50" s="758"/>
      <c r="KI50" s="758"/>
      <c r="KJ50" s="758"/>
      <c r="KK50" s="758"/>
      <c r="KL50" s="758"/>
      <c r="KM50" s="758"/>
      <c r="KN50" s="758"/>
      <c r="KO50" s="758"/>
      <c r="KP50" s="758"/>
      <c r="KQ50" s="758"/>
      <c r="KR50" s="758"/>
      <c r="KS50" s="758"/>
      <c r="KT50" s="758"/>
      <c r="KU50" s="758"/>
      <c r="KV50" s="758"/>
      <c r="KW50" s="758"/>
      <c r="KX50" s="758"/>
      <c r="KY50" s="758"/>
      <c r="KZ50" s="758"/>
      <c r="LA50" s="758"/>
      <c r="LB50" s="758"/>
      <c r="LC50" s="758"/>
      <c r="LD50" s="758"/>
      <c r="LE50" s="758"/>
      <c r="LF50" s="758"/>
      <c r="LG50" s="758"/>
      <c r="LH50" s="758"/>
      <c r="LI50" s="758"/>
      <c r="LJ50" s="758"/>
      <c r="LK50" s="758"/>
      <c r="LL50" s="758"/>
      <c r="LM50" s="758"/>
      <c r="LN50" s="758"/>
      <c r="LO50" s="758"/>
      <c r="LP50" s="758"/>
      <c r="LQ50" s="758"/>
      <c r="LR50" s="758"/>
      <c r="LS50" s="758"/>
      <c r="LT50" s="758"/>
      <c r="LU50" s="758"/>
      <c r="LV50" s="758"/>
      <c r="LW50" s="758"/>
      <c r="LX50" s="758"/>
      <c r="LY50" s="758"/>
      <c r="LZ50" s="758"/>
      <c r="MA50" s="758"/>
      <c r="MB50" s="758"/>
      <c r="MC50" s="758"/>
      <c r="MD50" s="758"/>
      <c r="ME50" s="758"/>
      <c r="MF50" s="758"/>
      <c r="MG50" s="758"/>
      <c r="MH50" s="758"/>
      <c r="MI50" s="758"/>
      <c r="MJ50" s="758"/>
      <c r="MK50" s="758"/>
      <c r="ML50" s="758"/>
      <c r="MM50" s="758"/>
      <c r="MN50" s="758"/>
      <c r="MO50" s="758"/>
      <c r="MP50" s="758"/>
      <c r="MQ50" s="758"/>
      <c r="MR50" s="758"/>
      <c r="MS50" s="758"/>
      <c r="MT50" s="758"/>
      <c r="MU50" s="758"/>
      <c r="MV50" s="758"/>
      <c r="MW50" s="758"/>
      <c r="MX50" s="758"/>
      <c r="MY50" s="758"/>
      <c r="MZ50" s="758"/>
      <c r="NA50" s="758"/>
      <c r="NB50" s="758"/>
      <c r="NC50" s="758"/>
      <c r="ND50" s="758"/>
      <c r="NE50" s="758"/>
    </row>
    <row r="51" spans="1:369" ht="12.75" customHeight="1">
      <c r="A51" s="854" t="s">
        <v>104</v>
      </c>
      <c r="B51" s="847"/>
      <c r="C51" s="252"/>
      <c r="D51" s="847"/>
      <c r="E51" s="847"/>
      <c r="F51" s="847"/>
      <c r="G51" s="847"/>
      <c r="H51" s="847"/>
      <c r="I51" s="877"/>
      <c r="K51" s="1125"/>
      <c r="L51" s="1063"/>
      <c r="M51" s="1063"/>
      <c r="N51" s="1063"/>
      <c r="O51" s="1063"/>
      <c r="P51" s="1063"/>
      <c r="T51" s="1131"/>
      <c r="U51" s="1131"/>
      <c r="V51" s="1076"/>
      <c r="W51" s="1076"/>
      <c r="X51" s="1100"/>
      <c r="Y51" s="1088"/>
      <c r="Z51" s="1088"/>
      <c r="AA51" s="758"/>
      <c r="AB51" s="758"/>
      <c r="AC51" s="758"/>
      <c r="AD51" s="758"/>
      <c r="AE51" s="758"/>
      <c r="AF51" s="758"/>
      <c r="AG51" s="758"/>
      <c r="AH51" s="758"/>
      <c r="AI51" s="1034"/>
      <c r="AJ51" s="1034"/>
      <c r="AK51" s="1034"/>
      <c r="AL51" s="1034"/>
      <c r="AM51" s="1034"/>
      <c r="AN51" s="1034"/>
      <c r="AO51" s="1034"/>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75"/>
      <c r="DO51" s="758"/>
      <c r="DP51" s="758"/>
      <c r="DQ51" s="758"/>
      <c r="DR51" s="753"/>
      <c r="DS51" s="778"/>
      <c r="DT51" s="770"/>
      <c r="DU51" s="758"/>
      <c r="DV51" s="758"/>
      <c r="DW51" s="819"/>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758"/>
      <c r="EY51" s="758"/>
      <c r="EZ51" s="758"/>
      <c r="FA51" s="758"/>
      <c r="FB51" s="758"/>
      <c r="FC51" s="758"/>
      <c r="FD51" s="758"/>
      <c r="FE51" s="758"/>
      <c r="FF51" s="758"/>
      <c r="FG51" s="758"/>
      <c r="FH51" s="758"/>
      <c r="FI51" s="758"/>
      <c r="FJ51" s="758"/>
      <c r="FK51" s="758"/>
      <c r="FL51" s="758"/>
      <c r="FM51" s="758"/>
      <c r="FN51" s="758"/>
      <c r="FO51" s="758"/>
      <c r="FP51" s="758"/>
      <c r="FQ51" s="758"/>
      <c r="FR51" s="758"/>
      <c r="FS51" s="758"/>
      <c r="FT51" s="758"/>
      <c r="FU51" s="758"/>
      <c r="FV51" s="758"/>
      <c r="FW51" s="758"/>
      <c r="FX51" s="758"/>
      <c r="FY51" s="758"/>
      <c r="FZ51" s="758"/>
      <c r="GA51" s="758"/>
      <c r="GB51" s="758"/>
      <c r="GC51" s="758"/>
      <c r="GD51" s="758"/>
      <c r="GE51" s="758"/>
      <c r="GF51" s="758"/>
      <c r="GG51" s="758"/>
      <c r="GH51" s="758"/>
      <c r="GI51" s="758"/>
      <c r="GJ51" s="758"/>
      <c r="GK51" s="758"/>
      <c r="GL51" s="758"/>
      <c r="GM51" s="758"/>
      <c r="GN51" s="758"/>
      <c r="GO51" s="758"/>
      <c r="GP51" s="758"/>
      <c r="GQ51" s="758"/>
      <c r="GR51" s="758"/>
      <c r="GS51" s="758"/>
      <c r="GT51" s="758"/>
      <c r="GU51" s="758"/>
      <c r="GV51" s="758"/>
      <c r="GW51" s="758"/>
      <c r="GX51" s="758"/>
      <c r="GY51" s="758"/>
      <c r="GZ51" s="758"/>
      <c r="HA51" s="758"/>
      <c r="HB51" s="758"/>
      <c r="HC51" s="758"/>
      <c r="HD51" s="758"/>
      <c r="HE51" s="758"/>
      <c r="HF51" s="758"/>
      <c r="HG51" s="758"/>
      <c r="HH51" s="758"/>
      <c r="HI51" s="758"/>
      <c r="HJ51" s="758"/>
      <c r="HK51" s="758"/>
      <c r="HL51" s="758"/>
      <c r="HM51" s="758"/>
      <c r="HN51" s="758"/>
      <c r="HO51" s="758"/>
      <c r="HP51" s="758"/>
      <c r="HQ51" s="758"/>
      <c r="HR51" s="758"/>
      <c r="HS51" s="758"/>
      <c r="HT51" s="758"/>
      <c r="HU51" s="758"/>
      <c r="HV51" s="758"/>
      <c r="HW51" s="758"/>
      <c r="HX51" s="758"/>
      <c r="HY51" s="758"/>
      <c r="HZ51" s="758"/>
      <c r="IA51" s="758"/>
      <c r="IB51" s="758"/>
      <c r="IC51" s="758"/>
      <c r="ID51" s="758"/>
      <c r="IE51" s="758"/>
      <c r="IF51" s="758"/>
      <c r="IG51" s="758"/>
      <c r="IH51" s="758"/>
      <c r="II51" s="758"/>
      <c r="IJ51" s="758"/>
      <c r="IK51" s="758"/>
      <c r="IL51" s="758"/>
      <c r="IM51" s="758"/>
      <c r="IN51" s="758"/>
      <c r="IO51" s="758"/>
      <c r="IP51" s="758"/>
      <c r="IQ51" s="758"/>
      <c r="IR51" s="758"/>
      <c r="IS51" s="758"/>
      <c r="IT51" s="758"/>
      <c r="IU51" s="758"/>
      <c r="IV51" s="758"/>
      <c r="IW51" s="758"/>
      <c r="IX51" s="758"/>
      <c r="IY51" s="758"/>
      <c r="IZ51" s="758"/>
      <c r="JA51" s="758"/>
      <c r="JB51" s="758"/>
      <c r="JC51" s="758"/>
      <c r="JD51" s="758"/>
      <c r="JE51" s="758"/>
      <c r="JF51" s="758"/>
      <c r="JG51" s="758"/>
      <c r="JH51" s="758"/>
      <c r="JI51" s="758"/>
      <c r="JJ51" s="758"/>
      <c r="JK51" s="758"/>
      <c r="JL51" s="758"/>
      <c r="JM51" s="758"/>
      <c r="JN51" s="758"/>
      <c r="JO51" s="758"/>
      <c r="JP51" s="758"/>
      <c r="JQ51" s="758"/>
      <c r="JR51" s="758"/>
      <c r="JS51" s="758"/>
      <c r="JT51" s="758"/>
      <c r="JU51" s="758"/>
      <c r="JV51" s="758"/>
      <c r="JW51" s="758"/>
      <c r="JX51" s="758"/>
      <c r="JY51" s="758"/>
      <c r="JZ51" s="758"/>
      <c r="KA51" s="758"/>
      <c r="KB51" s="758"/>
      <c r="KC51" s="758"/>
      <c r="KD51" s="758"/>
      <c r="KE51" s="758"/>
      <c r="KF51" s="758"/>
      <c r="KG51" s="758"/>
      <c r="KH51" s="758"/>
      <c r="KI51" s="758"/>
      <c r="KJ51" s="758"/>
      <c r="KK51" s="758"/>
      <c r="KL51" s="758"/>
      <c r="KM51" s="758"/>
      <c r="KN51" s="758"/>
      <c r="KO51" s="758"/>
      <c r="KP51" s="758"/>
      <c r="KQ51" s="758"/>
      <c r="KR51" s="758"/>
      <c r="KS51" s="758"/>
      <c r="KT51" s="758"/>
      <c r="KU51" s="758"/>
      <c r="KV51" s="758"/>
      <c r="KW51" s="758"/>
      <c r="KX51" s="758"/>
      <c r="KY51" s="758"/>
      <c r="KZ51" s="758"/>
      <c r="LA51" s="758"/>
      <c r="LB51" s="758"/>
      <c r="LC51" s="758"/>
      <c r="LD51" s="758"/>
      <c r="LE51" s="758"/>
      <c r="LF51" s="758"/>
      <c r="LG51" s="758"/>
      <c r="LH51" s="758"/>
      <c r="LI51" s="758"/>
      <c r="LJ51" s="758"/>
      <c r="LK51" s="758"/>
      <c r="LL51" s="758"/>
      <c r="LM51" s="758"/>
      <c r="LN51" s="758"/>
      <c r="LO51" s="758"/>
      <c r="LP51" s="758"/>
      <c r="LQ51" s="758"/>
      <c r="LR51" s="758"/>
      <c r="LS51" s="758"/>
      <c r="LT51" s="758"/>
      <c r="LU51" s="758"/>
      <c r="LV51" s="758"/>
      <c r="LW51" s="758"/>
      <c r="LX51" s="758"/>
      <c r="LY51" s="758"/>
      <c r="LZ51" s="758"/>
      <c r="MA51" s="758"/>
      <c r="MB51" s="758"/>
      <c r="MC51" s="758"/>
      <c r="MD51" s="758"/>
      <c r="ME51" s="758"/>
      <c r="MF51" s="758"/>
      <c r="MG51" s="758"/>
      <c r="MH51" s="758"/>
      <c r="MI51" s="758"/>
      <c r="MJ51" s="758"/>
      <c r="MK51" s="758"/>
      <c r="ML51" s="758"/>
      <c r="MM51" s="758"/>
      <c r="MN51" s="758"/>
      <c r="MO51" s="758"/>
      <c r="MP51" s="758"/>
      <c r="MQ51" s="758"/>
      <c r="MR51" s="758"/>
      <c r="MS51" s="758"/>
      <c r="MT51" s="758"/>
      <c r="MU51" s="758"/>
      <c r="MV51" s="758"/>
      <c r="MW51" s="758"/>
      <c r="MX51" s="758"/>
      <c r="MY51" s="758"/>
      <c r="MZ51" s="758"/>
      <c r="NA51" s="758"/>
      <c r="NB51" s="758"/>
      <c r="NC51" s="758"/>
      <c r="ND51" s="758"/>
      <c r="NE51" s="758"/>
    </row>
    <row r="52" spans="1:369" ht="12.75" customHeight="1">
      <c r="A52" s="898"/>
      <c r="B52" s="847"/>
      <c r="C52" s="252"/>
      <c r="D52" s="847"/>
      <c r="E52" s="847"/>
      <c r="F52" s="847"/>
      <c r="G52" s="847"/>
      <c r="H52" s="847"/>
      <c r="I52" s="877"/>
      <c r="K52" s="1125"/>
      <c r="L52" s="1063"/>
      <c r="M52" s="1063"/>
      <c r="N52" s="1063"/>
      <c r="O52" s="1063"/>
      <c r="P52" s="1063"/>
      <c r="T52" s="1132"/>
      <c r="U52" s="1434"/>
      <c r="V52" s="1076"/>
      <c r="W52" s="1076"/>
      <c r="X52" s="1088"/>
      <c r="Y52" s="1088"/>
      <c r="Z52" s="1088"/>
      <c r="AA52" s="758"/>
      <c r="AB52" s="758"/>
      <c r="AC52" s="758"/>
      <c r="AD52" s="758"/>
      <c r="AE52" s="758"/>
      <c r="AF52" s="758"/>
      <c r="AG52" s="758"/>
      <c r="AH52" s="758"/>
      <c r="AI52" s="1034"/>
      <c r="AJ52" s="1034"/>
      <c r="AK52" s="1034"/>
      <c r="AL52" s="1034"/>
      <c r="AM52" s="1034"/>
      <c r="AN52" s="1034"/>
      <c r="AO52" s="1034"/>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75"/>
      <c r="DO52" s="758"/>
      <c r="DP52" s="758"/>
      <c r="DQ52" s="758"/>
      <c r="DR52" s="753"/>
      <c r="DS52" s="778"/>
      <c r="DT52" s="770"/>
      <c r="DU52" s="758"/>
      <c r="DV52" s="758"/>
      <c r="DW52" s="819"/>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758"/>
      <c r="EY52" s="758"/>
      <c r="EZ52" s="758"/>
      <c r="FA52" s="758"/>
      <c r="FB52" s="758"/>
      <c r="FC52" s="758"/>
      <c r="FD52" s="758"/>
      <c r="FE52" s="758"/>
      <c r="FF52" s="758"/>
      <c r="FG52" s="758"/>
      <c r="FH52" s="758"/>
      <c r="FI52" s="758"/>
      <c r="FJ52" s="758"/>
      <c r="FK52" s="758"/>
      <c r="FL52" s="758"/>
      <c r="FM52" s="758"/>
      <c r="FN52" s="758"/>
      <c r="FO52" s="758"/>
      <c r="FP52" s="758"/>
      <c r="FQ52" s="758"/>
      <c r="FR52" s="758"/>
      <c r="FS52" s="758"/>
      <c r="FT52" s="758"/>
      <c r="FU52" s="758"/>
      <c r="FV52" s="758"/>
      <c r="FW52" s="758"/>
      <c r="FX52" s="758"/>
      <c r="FY52" s="758"/>
      <c r="FZ52" s="758"/>
      <c r="GA52" s="758"/>
      <c r="GB52" s="758"/>
      <c r="GC52" s="758"/>
      <c r="GD52" s="758"/>
      <c r="GE52" s="758"/>
      <c r="GF52" s="758"/>
      <c r="GG52" s="758"/>
      <c r="GH52" s="758"/>
      <c r="GI52" s="758"/>
      <c r="GJ52" s="758"/>
      <c r="GK52" s="758"/>
      <c r="GL52" s="758"/>
      <c r="GM52" s="758"/>
      <c r="GN52" s="758"/>
      <c r="GO52" s="758"/>
      <c r="GP52" s="758"/>
      <c r="GQ52" s="758"/>
      <c r="GR52" s="758"/>
      <c r="GS52" s="758"/>
      <c r="GT52" s="758"/>
      <c r="GU52" s="758"/>
      <c r="GV52" s="758"/>
      <c r="GW52" s="758"/>
      <c r="GX52" s="758"/>
      <c r="GY52" s="758"/>
      <c r="GZ52" s="758"/>
      <c r="HA52" s="758"/>
      <c r="HB52" s="758"/>
      <c r="HC52" s="758"/>
      <c r="HD52" s="758"/>
      <c r="HE52" s="758"/>
      <c r="HF52" s="758"/>
      <c r="HG52" s="758"/>
      <c r="HH52" s="758"/>
      <c r="HI52" s="758"/>
      <c r="HJ52" s="758"/>
      <c r="HK52" s="758"/>
      <c r="HL52" s="758"/>
      <c r="HM52" s="758"/>
      <c r="HN52" s="758"/>
      <c r="HO52" s="758"/>
      <c r="HP52" s="758"/>
      <c r="HQ52" s="758"/>
      <c r="HR52" s="758"/>
      <c r="HS52" s="758"/>
      <c r="HT52" s="758"/>
      <c r="HU52" s="758"/>
      <c r="HV52" s="758"/>
      <c r="HW52" s="758"/>
      <c r="HX52" s="758"/>
      <c r="HY52" s="758"/>
      <c r="HZ52" s="758"/>
      <c r="IA52" s="758"/>
      <c r="IB52" s="758"/>
      <c r="IC52" s="758"/>
      <c r="ID52" s="758"/>
      <c r="IE52" s="758"/>
      <c r="IF52" s="758"/>
      <c r="IG52" s="758"/>
      <c r="IH52" s="758"/>
      <c r="II52" s="758"/>
      <c r="IJ52" s="758"/>
      <c r="IK52" s="758"/>
      <c r="IL52" s="758"/>
      <c r="IM52" s="758"/>
      <c r="IN52" s="758"/>
      <c r="IO52" s="758"/>
      <c r="IP52" s="758"/>
      <c r="IQ52" s="758"/>
      <c r="IR52" s="758"/>
      <c r="IS52" s="758"/>
      <c r="IT52" s="758"/>
      <c r="IU52" s="758"/>
      <c r="IV52" s="758"/>
      <c r="IW52" s="758"/>
      <c r="IX52" s="758"/>
      <c r="IY52" s="758"/>
      <c r="IZ52" s="758"/>
      <c r="JA52" s="758"/>
      <c r="JB52" s="758"/>
      <c r="JC52" s="758"/>
      <c r="JD52" s="758"/>
      <c r="JE52" s="758"/>
      <c r="JF52" s="758"/>
      <c r="JG52" s="758"/>
      <c r="JH52" s="758"/>
      <c r="JI52" s="758"/>
      <c r="JJ52" s="758"/>
      <c r="JK52" s="758"/>
      <c r="JL52" s="758"/>
      <c r="JM52" s="758"/>
      <c r="JN52" s="758"/>
      <c r="JO52" s="758"/>
      <c r="JP52" s="758"/>
      <c r="JQ52" s="758"/>
      <c r="JR52" s="758"/>
      <c r="JS52" s="758"/>
      <c r="JT52" s="758"/>
      <c r="JU52" s="758"/>
      <c r="JV52" s="758"/>
      <c r="JW52" s="758"/>
      <c r="JX52" s="758"/>
      <c r="JY52" s="758"/>
      <c r="JZ52" s="758"/>
      <c r="KA52" s="758"/>
      <c r="KB52" s="758"/>
      <c r="KC52" s="758"/>
      <c r="KD52" s="758"/>
      <c r="KE52" s="758"/>
      <c r="KF52" s="758"/>
      <c r="KG52" s="758"/>
      <c r="KH52" s="758"/>
      <c r="KI52" s="758"/>
      <c r="KJ52" s="758"/>
      <c r="KK52" s="758"/>
      <c r="KL52" s="758"/>
      <c r="KM52" s="758"/>
      <c r="KN52" s="758"/>
      <c r="KO52" s="758"/>
      <c r="KP52" s="758"/>
      <c r="KQ52" s="758"/>
      <c r="KR52" s="758"/>
      <c r="KS52" s="758"/>
      <c r="KT52" s="758"/>
      <c r="KU52" s="758"/>
      <c r="KV52" s="758"/>
      <c r="KW52" s="758"/>
      <c r="KX52" s="758"/>
      <c r="KY52" s="758"/>
      <c r="KZ52" s="758"/>
      <c r="LA52" s="758"/>
      <c r="LB52" s="758"/>
      <c r="LC52" s="758"/>
      <c r="LD52" s="758"/>
      <c r="LE52" s="758"/>
      <c r="LF52" s="758"/>
      <c r="LG52" s="758"/>
      <c r="LH52" s="758"/>
      <c r="LI52" s="758"/>
      <c r="LJ52" s="758"/>
      <c r="LK52" s="758"/>
      <c r="LL52" s="758"/>
      <c r="LM52" s="758"/>
      <c r="LN52" s="758"/>
      <c r="LO52" s="758"/>
      <c r="LP52" s="758"/>
      <c r="LQ52" s="758"/>
      <c r="LR52" s="758"/>
      <c r="LS52" s="758"/>
      <c r="LT52" s="758"/>
      <c r="LU52" s="758"/>
      <c r="LV52" s="758"/>
      <c r="LW52" s="758"/>
      <c r="LX52" s="758"/>
      <c r="LY52" s="758"/>
      <c r="LZ52" s="758"/>
      <c r="MA52" s="758"/>
      <c r="MB52" s="758"/>
      <c r="MC52" s="758"/>
      <c r="MD52" s="758"/>
      <c r="ME52" s="758"/>
      <c r="MF52" s="758"/>
      <c r="MG52" s="758"/>
      <c r="MH52" s="758"/>
      <c r="MI52" s="758"/>
      <c r="MJ52" s="758"/>
      <c r="MK52" s="758"/>
      <c r="ML52" s="758"/>
      <c r="MM52" s="758"/>
      <c r="MN52" s="758"/>
      <c r="MO52" s="758"/>
      <c r="MP52" s="758"/>
      <c r="MQ52" s="758"/>
      <c r="MR52" s="758"/>
      <c r="MS52" s="758"/>
      <c r="MT52" s="758"/>
      <c r="MU52" s="758"/>
      <c r="MV52" s="758"/>
      <c r="MW52" s="758"/>
      <c r="MX52" s="758"/>
      <c r="MY52" s="758"/>
      <c r="MZ52" s="758"/>
      <c r="NA52" s="758"/>
      <c r="NB52" s="758"/>
      <c r="NC52" s="758"/>
      <c r="ND52" s="758"/>
      <c r="NE52" s="758"/>
    </row>
    <row r="53" spans="1:369" ht="12.75" customHeight="1">
      <c r="A53" s="898"/>
      <c r="B53" s="847"/>
      <c r="C53" s="252"/>
      <c r="D53" s="847"/>
      <c r="E53" s="847"/>
      <c r="F53" s="847"/>
      <c r="G53" s="847"/>
      <c r="H53" s="847"/>
      <c r="I53" s="877"/>
      <c r="J53" s="1061"/>
      <c r="K53" s="1125"/>
      <c r="T53" s="1110"/>
      <c r="U53" s="1435"/>
      <c r="V53" s="1088"/>
      <c r="W53" s="1088"/>
      <c r="X53" s="1088"/>
      <c r="Y53" s="1088"/>
      <c r="Z53" s="1088"/>
      <c r="AA53" s="758"/>
      <c r="AB53" s="758"/>
      <c r="AC53" s="758"/>
      <c r="AD53" s="758"/>
      <c r="AE53" s="758"/>
      <c r="AF53" s="758"/>
      <c r="AG53" s="758"/>
      <c r="AH53" s="758"/>
      <c r="AI53" s="1034"/>
      <c r="AJ53" s="1034"/>
      <c r="AK53" s="1034"/>
      <c r="AL53" s="1034"/>
      <c r="AM53" s="1034"/>
      <c r="AN53" s="1034"/>
      <c r="AO53" s="1034"/>
      <c r="AP53" s="758"/>
      <c r="AQ53" s="758"/>
      <c r="AR53" s="758"/>
      <c r="AS53" s="758"/>
      <c r="AT53" s="758"/>
      <c r="AU53" s="758"/>
      <c r="AV53" s="758"/>
      <c r="AW53" s="758"/>
      <c r="AX53" s="758"/>
      <c r="AY53" s="758"/>
      <c r="AZ53" s="758"/>
      <c r="BA53" s="758"/>
      <c r="BB53" s="758"/>
      <c r="BC53" s="758"/>
      <c r="BD53" s="758"/>
      <c r="BE53" s="758"/>
      <c r="BF53" s="758"/>
      <c r="BG53" s="758"/>
      <c r="BH53" s="758"/>
      <c r="BI53" s="758"/>
      <c r="BJ53" s="758"/>
      <c r="BK53" s="758"/>
      <c r="BL53" s="758"/>
      <c r="BM53" s="758"/>
      <c r="BN53" s="758"/>
      <c r="BO53" s="758"/>
      <c r="BP53" s="758"/>
      <c r="BQ53" s="758"/>
      <c r="BR53" s="758"/>
      <c r="BS53" s="758"/>
      <c r="BT53" s="758"/>
      <c r="BU53" s="758"/>
      <c r="BV53" s="758"/>
      <c r="BW53" s="758"/>
      <c r="BX53" s="758"/>
      <c r="BY53" s="758"/>
      <c r="BZ53" s="758"/>
      <c r="CA53" s="758"/>
      <c r="CB53" s="758"/>
      <c r="CC53" s="758"/>
      <c r="CD53" s="758"/>
      <c r="CE53" s="758"/>
      <c r="CF53" s="758"/>
      <c r="CG53" s="758"/>
      <c r="CH53" s="758"/>
      <c r="CI53" s="758"/>
      <c r="CJ53" s="758"/>
      <c r="CK53" s="758"/>
      <c r="CL53" s="758"/>
      <c r="CM53" s="758"/>
      <c r="CN53" s="753"/>
      <c r="CO53" s="753"/>
      <c r="CP53" s="753"/>
      <c r="CQ53" s="753"/>
      <c r="CR53" s="753"/>
      <c r="CS53" s="753"/>
      <c r="CT53" s="753"/>
      <c r="CU53" s="753"/>
      <c r="CV53" s="753"/>
      <c r="CW53" s="753"/>
      <c r="CX53" s="753"/>
      <c r="CY53" s="753"/>
      <c r="CZ53" s="753"/>
      <c r="DA53" s="753"/>
      <c r="DB53" s="753"/>
      <c r="DC53" s="753"/>
      <c r="DD53" s="753"/>
      <c r="DE53" s="753"/>
      <c r="DF53" s="753"/>
      <c r="DG53" s="753"/>
      <c r="DH53" s="753"/>
      <c r="DI53" s="753"/>
      <c r="DJ53" s="753"/>
      <c r="DK53" s="753"/>
      <c r="DL53" s="753"/>
      <c r="DM53" s="776"/>
      <c r="DN53" s="758"/>
      <c r="DO53" s="758"/>
      <c r="DP53" s="758"/>
      <c r="DQ53" s="758"/>
      <c r="DR53" s="753"/>
      <c r="DS53" s="778"/>
      <c r="DT53" s="770"/>
      <c r="DU53" s="758"/>
      <c r="DV53" s="758"/>
      <c r="DW53" s="819"/>
      <c r="DX53" s="758"/>
      <c r="DY53" s="758"/>
      <c r="DZ53" s="758"/>
      <c r="EA53" s="758"/>
      <c r="EB53" s="758"/>
      <c r="EC53" s="758"/>
      <c r="ED53" s="758"/>
      <c r="EE53" s="758"/>
      <c r="EF53" s="758"/>
      <c r="EG53" s="758"/>
      <c r="EH53" s="758"/>
      <c r="EI53" s="758"/>
      <c r="EJ53" s="758"/>
      <c r="EK53" s="758"/>
      <c r="EL53" s="758"/>
      <c r="EM53" s="758"/>
      <c r="EN53" s="758"/>
      <c r="EO53" s="758"/>
      <c r="EP53" s="758"/>
      <c r="EQ53" s="758"/>
      <c r="ER53" s="758"/>
      <c r="ES53" s="758"/>
      <c r="ET53" s="758"/>
      <c r="EU53" s="758"/>
      <c r="EV53" s="758"/>
      <c r="EW53" s="758"/>
      <c r="EX53" s="758"/>
      <c r="EY53" s="758"/>
      <c r="EZ53" s="758"/>
      <c r="FA53" s="758"/>
      <c r="FB53" s="758"/>
      <c r="FC53" s="758"/>
      <c r="FD53" s="758"/>
      <c r="FE53" s="758"/>
      <c r="FF53" s="758"/>
      <c r="FG53" s="758"/>
      <c r="FH53" s="758"/>
      <c r="FI53" s="758"/>
      <c r="FJ53" s="758"/>
      <c r="FK53" s="758"/>
      <c r="FL53" s="758"/>
      <c r="FM53" s="758"/>
      <c r="FN53" s="758"/>
      <c r="FO53" s="758"/>
      <c r="FP53" s="758"/>
      <c r="FQ53" s="758"/>
      <c r="FR53" s="758"/>
      <c r="FS53" s="758"/>
      <c r="FT53" s="758"/>
      <c r="FU53" s="758"/>
      <c r="FV53" s="758"/>
      <c r="FW53" s="758"/>
      <c r="FX53" s="758"/>
      <c r="FY53" s="758"/>
      <c r="FZ53" s="758"/>
      <c r="GA53" s="758"/>
      <c r="GB53" s="758"/>
      <c r="GC53" s="758"/>
      <c r="GD53" s="758"/>
      <c r="GE53" s="758"/>
      <c r="GF53" s="758"/>
      <c r="GG53" s="758"/>
      <c r="GH53" s="758"/>
      <c r="GI53" s="758"/>
      <c r="GJ53" s="758"/>
      <c r="GK53" s="758"/>
      <c r="GL53" s="758"/>
      <c r="GM53" s="758"/>
      <c r="GN53" s="758"/>
      <c r="GO53" s="758"/>
      <c r="GP53" s="758"/>
      <c r="GQ53" s="758"/>
      <c r="GR53" s="758"/>
      <c r="GS53" s="758"/>
      <c r="GT53" s="758"/>
      <c r="GU53" s="758"/>
      <c r="GV53" s="758"/>
      <c r="GW53" s="758"/>
      <c r="GX53" s="758"/>
      <c r="GY53" s="758"/>
      <c r="GZ53" s="758"/>
      <c r="HA53" s="758"/>
      <c r="HB53" s="758"/>
      <c r="HC53" s="758"/>
      <c r="HD53" s="758"/>
      <c r="HE53" s="758"/>
      <c r="HF53" s="758"/>
      <c r="HG53" s="758"/>
      <c r="HH53" s="758"/>
      <c r="HI53" s="758"/>
      <c r="HJ53" s="758"/>
      <c r="HK53" s="758"/>
      <c r="HL53" s="758"/>
      <c r="HM53" s="758"/>
      <c r="HN53" s="758"/>
      <c r="HO53" s="758"/>
      <c r="HP53" s="758"/>
      <c r="HQ53" s="758"/>
      <c r="HR53" s="758"/>
      <c r="HS53" s="758"/>
      <c r="HT53" s="758"/>
      <c r="HU53" s="758"/>
      <c r="HV53" s="758"/>
      <c r="HW53" s="758"/>
      <c r="HX53" s="758"/>
      <c r="HY53" s="758"/>
      <c r="HZ53" s="758"/>
      <c r="IA53" s="758"/>
      <c r="IB53" s="758"/>
      <c r="IC53" s="758"/>
      <c r="ID53" s="758"/>
      <c r="IE53" s="758"/>
      <c r="IF53" s="758"/>
      <c r="IG53" s="758"/>
      <c r="IH53" s="758"/>
      <c r="II53" s="758"/>
      <c r="IJ53" s="758"/>
      <c r="IK53" s="758"/>
      <c r="IL53" s="758"/>
      <c r="IM53" s="758"/>
      <c r="IN53" s="758"/>
      <c r="IO53" s="758"/>
      <c r="IP53" s="758"/>
      <c r="IQ53" s="758"/>
      <c r="IR53" s="758"/>
      <c r="IS53" s="758"/>
      <c r="IT53" s="758"/>
      <c r="IU53" s="758"/>
      <c r="IV53" s="758"/>
      <c r="IW53" s="758"/>
      <c r="IX53" s="758"/>
      <c r="IY53" s="758"/>
      <c r="IZ53" s="758"/>
      <c r="JA53" s="758"/>
      <c r="JB53" s="758"/>
      <c r="JC53" s="758"/>
      <c r="JD53" s="758"/>
      <c r="JE53" s="758"/>
      <c r="JF53" s="758"/>
      <c r="JG53" s="758"/>
      <c r="JH53" s="758"/>
      <c r="JI53" s="758"/>
      <c r="JJ53" s="758"/>
      <c r="JK53" s="758"/>
      <c r="JL53" s="758"/>
      <c r="JM53" s="758"/>
      <c r="JN53" s="758"/>
      <c r="JO53" s="758"/>
      <c r="JP53" s="758"/>
      <c r="JQ53" s="758"/>
      <c r="JR53" s="758"/>
      <c r="JS53" s="758"/>
      <c r="JT53" s="758"/>
      <c r="JU53" s="758"/>
      <c r="JV53" s="758"/>
      <c r="JW53" s="758"/>
      <c r="JX53" s="758"/>
      <c r="JY53" s="758"/>
      <c r="JZ53" s="758"/>
      <c r="KA53" s="758"/>
      <c r="KB53" s="758"/>
      <c r="KC53" s="758"/>
      <c r="KD53" s="758"/>
      <c r="KE53" s="758"/>
      <c r="KF53" s="758"/>
      <c r="KG53" s="758"/>
      <c r="KH53" s="758"/>
      <c r="KI53" s="758"/>
      <c r="KJ53" s="758"/>
      <c r="KK53" s="758"/>
      <c r="KL53" s="758"/>
      <c r="KM53" s="758"/>
      <c r="KN53" s="758"/>
      <c r="KO53" s="758"/>
      <c r="KP53" s="758"/>
      <c r="KQ53" s="758"/>
      <c r="KR53" s="758"/>
      <c r="KS53" s="758"/>
      <c r="KT53" s="758"/>
      <c r="KU53" s="758"/>
      <c r="KV53" s="758"/>
      <c r="KW53" s="758"/>
      <c r="KX53" s="758"/>
      <c r="KY53" s="758"/>
      <c r="KZ53" s="758"/>
      <c r="LA53" s="758"/>
      <c r="LB53" s="758"/>
      <c r="LC53" s="758"/>
      <c r="LD53" s="758"/>
      <c r="LE53" s="758"/>
      <c r="LF53" s="758"/>
      <c r="LG53" s="758"/>
      <c r="LH53" s="758"/>
      <c r="LI53" s="758"/>
      <c r="LJ53" s="758"/>
      <c r="LK53" s="758"/>
      <c r="LL53" s="758"/>
      <c r="LM53" s="758"/>
      <c r="LN53" s="758"/>
      <c r="LO53" s="758"/>
      <c r="LP53" s="758"/>
      <c r="LQ53" s="758"/>
      <c r="LR53" s="758"/>
      <c r="LS53" s="758"/>
      <c r="LT53" s="758"/>
      <c r="LU53" s="758"/>
      <c r="LV53" s="758"/>
      <c r="LW53" s="758"/>
      <c r="LX53" s="758"/>
      <c r="LY53" s="758"/>
      <c r="LZ53" s="758"/>
      <c r="MA53" s="758"/>
      <c r="MB53" s="758"/>
      <c r="MC53" s="758"/>
      <c r="MD53" s="758"/>
      <c r="ME53" s="758"/>
      <c r="MF53" s="758"/>
      <c r="MG53" s="758"/>
      <c r="MH53" s="758"/>
      <c r="MI53" s="758"/>
      <c r="MJ53" s="758"/>
      <c r="MK53" s="758"/>
      <c r="ML53" s="758"/>
      <c r="MM53" s="758"/>
      <c r="MN53" s="758"/>
      <c r="MO53" s="758"/>
      <c r="MP53" s="758"/>
      <c r="MQ53" s="758"/>
      <c r="MR53" s="758"/>
      <c r="MS53" s="758"/>
      <c r="MT53" s="758"/>
      <c r="MU53" s="758"/>
      <c r="MV53" s="758"/>
      <c r="MW53" s="758"/>
      <c r="MX53" s="758"/>
      <c r="MY53" s="758"/>
      <c r="MZ53" s="758"/>
      <c r="NA53" s="758"/>
      <c r="NB53" s="758"/>
      <c r="NC53" s="758"/>
      <c r="ND53" s="758"/>
      <c r="NE53" s="758"/>
    </row>
    <row r="54" spans="1:369" ht="12.75" customHeight="1">
      <c r="A54" s="1259"/>
      <c r="B54" s="878"/>
      <c r="C54" s="392"/>
      <c r="D54" s="878"/>
      <c r="E54" s="878"/>
      <c r="F54" s="878"/>
      <c r="G54" s="878"/>
      <c r="H54" s="878"/>
      <c r="I54" s="879"/>
      <c r="J54" s="1061"/>
      <c r="K54" s="1125"/>
      <c r="M54" s="1133"/>
      <c r="T54" s="1110"/>
      <c r="U54" s="1110"/>
      <c r="V54" s="1088"/>
      <c r="W54" s="1088"/>
      <c r="Y54" s="1088"/>
      <c r="Z54" s="1088"/>
      <c r="AA54" s="758"/>
      <c r="AB54" s="758"/>
      <c r="AC54" s="758"/>
      <c r="AD54" s="758"/>
      <c r="AE54" s="758"/>
      <c r="AF54" s="758"/>
      <c r="AG54" s="758"/>
      <c r="AH54" s="758"/>
      <c r="AI54" s="1034"/>
      <c r="AJ54" s="1034"/>
      <c r="AK54" s="1034"/>
      <c r="AL54" s="1034"/>
      <c r="AM54" s="1034"/>
      <c r="AN54" s="1034"/>
      <c r="AO54" s="1034"/>
      <c r="AP54" s="758"/>
      <c r="AQ54" s="758"/>
      <c r="AR54" s="758"/>
      <c r="AS54" s="758"/>
      <c r="AT54" s="758"/>
      <c r="AU54" s="758"/>
      <c r="AV54" s="758"/>
      <c r="AW54" s="758"/>
      <c r="AX54" s="758"/>
      <c r="AY54" s="758"/>
      <c r="AZ54" s="758"/>
      <c r="BA54" s="758"/>
      <c r="BB54" s="758"/>
      <c r="BC54" s="758"/>
      <c r="BD54" s="758"/>
      <c r="BE54" s="758"/>
      <c r="BF54" s="758"/>
      <c r="BG54" s="758"/>
      <c r="BH54" s="758"/>
      <c r="BI54" s="758"/>
      <c r="BJ54" s="758"/>
      <c r="BK54" s="758"/>
      <c r="BL54" s="758"/>
      <c r="BM54" s="758"/>
      <c r="BN54" s="758"/>
      <c r="BO54" s="758"/>
      <c r="BP54" s="758"/>
      <c r="BQ54" s="758"/>
      <c r="BR54" s="758"/>
      <c r="BS54" s="758"/>
      <c r="BT54" s="758"/>
      <c r="BU54" s="758"/>
      <c r="BV54" s="758"/>
      <c r="BW54" s="758"/>
      <c r="BX54" s="758"/>
      <c r="BY54" s="758"/>
      <c r="BZ54" s="758"/>
      <c r="CA54" s="758"/>
      <c r="CB54" s="758"/>
      <c r="CC54" s="758"/>
      <c r="CD54" s="758"/>
      <c r="CE54" s="758"/>
      <c r="CF54" s="758"/>
      <c r="CG54" s="758"/>
      <c r="CH54" s="758"/>
      <c r="CI54" s="758"/>
      <c r="CJ54" s="758"/>
      <c r="CK54" s="758"/>
      <c r="CL54" s="758"/>
      <c r="CM54" s="758"/>
      <c r="CN54" s="753"/>
      <c r="CO54" s="753"/>
      <c r="CP54" s="753"/>
      <c r="CQ54" s="753"/>
      <c r="CR54" s="753"/>
      <c r="CS54" s="753"/>
      <c r="CT54" s="753"/>
      <c r="CU54" s="753"/>
      <c r="CV54" s="753"/>
      <c r="CW54" s="753"/>
      <c r="CX54" s="753"/>
      <c r="CY54" s="753"/>
      <c r="CZ54" s="753"/>
      <c r="DA54" s="753"/>
      <c r="DB54" s="753"/>
      <c r="DC54" s="753"/>
      <c r="DD54" s="753"/>
      <c r="DE54" s="753"/>
      <c r="DF54" s="753"/>
      <c r="DG54" s="753"/>
      <c r="DH54" s="753"/>
      <c r="DI54" s="753"/>
      <c r="DJ54" s="753"/>
      <c r="DK54" s="753"/>
      <c r="DL54" s="753"/>
      <c r="DM54" s="776"/>
      <c r="DN54" s="758"/>
      <c r="DO54" s="758"/>
      <c r="DP54" s="758"/>
      <c r="DQ54" s="758"/>
      <c r="DR54" s="753"/>
      <c r="DS54" s="778"/>
      <c r="DT54" s="770"/>
      <c r="DU54" s="758"/>
      <c r="DV54" s="758"/>
      <c r="DW54" s="819"/>
      <c r="DX54" s="758"/>
      <c r="DY54" s="758"/>
      <c r="DZ54" s="758"/>
      <c r="EA54" s="758"/>
      <c r="EB54" s="758"/>
      <c r="EC54" s="758"/>
      <c r="ED54" s="758"/>
      <c r="EE54" s="758"/>
      <c r="EF54" s="758"/>
      <c r="EG54" s="758"/>
      <c r="EH54" s="758"/>
      <c r="EI54" s="758"/>
      <c r="EJ54" s="758"/>
      <c r="EK54" s="758"/>
      <c r="EL54" s="758"/>
      <c r="EM54" s="758"/>
      <c r="EN54" s="758"/>
      <c r="EO54" s="758"/>
      <c r="EP54" s="758"/>
      <c r="EQ54" s="758"/>
      <c r="ER54" s="758"/>
      <c r="ES54" s="758"/>
      <c r="ET54" s="758"/>
      <c r="EU54" s="758"/>
      <c r="EV54" s="758"/>
      <c r="EW54" s="758"/>
      <c r="EX54" s="758"/>
      <c r="EY54" s="758"/>
      <c r="EZ54" s="758"/>
      <c r="FA54" s="758"/>
      <c r="FB54" s="758"/>
      <c r="FC54" s="758"/>
      <c r="FD54" s="758"/>
      <c r="FE54" s="758"/>
      <c r="FF54" s="758"/>
      <c r="FG54" s="758"/>
      <c r="FH54" s="758"/>
      <c r="FI54" s="758"/>
      <c r="FJ54" s="758"/>
      <c r="FK54" s="758"/>
      <c r="FL54" s="758"/>
      <c r="FM54" s="758"/>
      <c r="FN54" s="758"/>
      <c r="FO54" s="758"/>
      <c r="FP54" s="758"/>
      <c r="FQ54" s="758"/>
      <c r="FR54" s="758"/>
      <c r="FS54" s="758"/>
      <c r="FT54" s="758"/>
      <c r="FU54" s="758"/>
      <c r="FV54" s="758"/>
      <c r="FW54" s="758"/>
      <c r="FX54" s="758"/>
      <c r="FY54" s="758"/>
      <c r="FZ54" s="758"/>
      <c r="GA54" s="758"/>
      <c r="GB54" s="758"/>
      <c r="GC54" s="758"/>
      <c r="GD54" s="758"/>
      <c r="GE54" s="758"/>
      <c r="GF54" s="758"/>
      <c r="GG54" s="758"/>
      <c r="GH54" s="758"/>
      <c r="GI54" s="758"/>
      <c r="GJ54" s="758"/>
      <c r="GK54" s="758"/>
      <c r="GL54" s="758"/>
      <c r="GM54" s="758"/>
      <c r="GN54" s="758"/>
      <c r="GO54" s="758"/>
      <c r="GP54" s="758"/>
      <c r="GQ54" s="758"/>
      <c r="GR54" s="758"/>
      <c r="GS54" s="758"/>
      <c r="GT54" s="758"/>
      <c r="GU54" s="758"/>
      <c r="GV54" s="758"/>
      <c r="GW54" s="758"/>
      <c r="GX54" s="758"/>
      <c r="GY54" s="758"/>
      <c r="GZ54" s="758"/>
      <c r="HA54" s="758"/>
      <c r="HB54" s="758"/>
      <c r="HC54" s="758"/>
      <c r="HD54" s="758"/>
      <c r="HE54" s="758"/>
      <c r="HF54" s="758"/>
      <c r="HG54" s="758"/>
      <c r="HH54" s="758"/>
      <c r="HI54" s="758"/>
      <c r="HJ54" s="758"/>
      <c r="HK54" s="758"/>
      <c r="HL54" s="758"/>
      <c r="HM54" s="758"/>
      <c r="HN54" s="758"/>
      <c r="HO54" s="758"/>
      <c r="HP54" s="758"/>
      <c r="HQ54" s="758"/>
      <c r="HR54" s="758"/>
      <c r="HS54" s="758"/>
      <c r="HT54" s="758"/>
      <c r="HU54" s="758"/>
      <c r="HV54" s="758"/>
      <c r="HW54" s="758"/>
      <c r="HX54" s="758"/>
      <c r="HY54" s="758"/>
      <c r="HZ54" s="758"/>
      <c r="IA54" s="758"/>
      <c r="IB54" s="758"/>
      <c r="IC54" s="758"/>
      <c r="ID54" s="758"/>
      <c r="IE54" s="758"/>
      <c r="IF54" s="758"/>
      <c r="IG54" s="758"/>
      <c r="IH54" s="758"/>
      <c r="II54" s="758"/>
      <c r="IJ54" s="758"/>
      <c r="IK54" s="758"/>
      <c r="IL54" s="758"/>
      <c r="IM54" s="758"/>
      <c r="IN54" s="758"/>
      <c r="IO54" s="758"/>
      <c r="IP54" s="758"/>
      <c r="IQ54" s="758"/>
      <c r="IR54" s="758"/>
      <c r="IS54" s="758"/>
      <c r="IT54" s="758"/>
      <c r="IU54" s="758"/>
      <c r="IV54" s="758"/>
      <c r="IW54" s="758"/>
      <c r="IX54" s="758"/>
      <c r="IY54" s="758"/>
      <c r="IZ54" s="758"/>
      <c r="JA54" s="758"/>
      <c r="JB54" s="758"/>
      <c r="JC54" s="758"/>
      <c r="JD54" s="758"/>
      <c r="JE54" s="758"/>
      <c r="JF54" s="758"/>
      <c r="JG54" s="758"/>
      <c r="JH54" s="758"/>
      <c r="JI54" s="758"/>
      <c r="JJ54" s="758"/>
      <c r="JK54" s="758"/>
      <c r="JL54" s="758"/>
      <c r="JM54" s="758"/>
      <c r="JN54" s="758"/>
      <c r="JO54" s="758"/>
      <c r="JP54" s="758"/>
      <c r="JQ54" s="758"/>
      <c r="JR54" s="758"/>
      <c r="JS54" s="758"/>
      <c r="JT54" s="758"/>
      <c r="JU54" s="758"/>
      <c r="JV54" s="758"/>
      <c r="JW54" s="758"/>
      <c r="JX54" s="758"/>
      <c r="JY54" s="758"/>
      <c r="JZ54" s="758"/>
      <c r="KA54" s="758"/>
      <c r="KB54" s="758"/>
      <c r="KC54" s="758"/>
      <c r="KD54" s="758"/>
      <c r="KE54" s="758"/>
      <c r="KF54" s="758"/>
      <c r="KG54" s="758"/>
      <c r="KH54" s="758"/>
      <c r="KI54" s="758"/>
      <c r="KJ54" s="758"/>
      <c r="KK54" s="758"/>
      <c r="KL54" s="758"/>
      <c r="KM54" s="758"/>
      <c r="KN54" s="758"/>
      <c r="KO54" s="758"/>
      <c r="KP54" s="758"/>
      <c r="KQ54" s="758"/>
      <c r="KR54" s="758"/>
      <c r="KS54" s="758"/>
      <c r="KT54" s="758"/>
      <c r="KU54" s="758"/>
      <c r="KV54" s="758"/>
      <c r="KW54" s="758"/>
      <c r="KX54" s="758"/>
      <c r="KY54" s="758"/>
      <c r="KZ54" s="758"/>
      <c r="LA54" s="758"/>
      <c r="LB54" s="758"/>
      <c r="LC54" s="758"/>
      <c r="LD54" s="758"/>
      <c r="LE54" s="758"/>
      <c r="LF54" s="758"/>
      <c r="LG54" s="758"/>
      <c r="LH54" s="758"/>
      <c r="LI54" s="758"/>
      <c r="LJ54" s="758"/>
      <c r="LK54" s="758"/>
      <c r="LL54" s="758"/>
      <c r="LM54" s="758"/>
      <c r="LN54" s="758"/>
      <c r="LO54" s="758"/>
      <c r="LP54" s="758"/>
      <c r="LQ54" s="758"/>
      <c r="LR54" s="758"/>
      <c r="LS54" s="758"/>
      <c r="LT54" s="758"/>
      <c r="LU54" s="758"/>
      <c r="LV54" s="758"/>
      <c r="LW54" s="758"/>
      <c r="LX54" s="758"/>
      <c r="LY54" s="758"/>
      <c r="LZ54" s="758"/>
      <c r="MA54" s="758"/>
      <c r="MB54" s="758"/>
      <c r="MC54" s="758"/>
      <c r="MD54" s="758"/>
      <c r="ME54" s="758"/>
      <c r="MF54" s="758"/>
      <c r="MG54" s="758"/>
      <c r="MH54" s="758"/>
      <c r="MI54" s="758"/>
      <c r="MJ54" s="758"/>
      <c r="MK54" s="758"/>
      <c r="ML54" s="758"/>
      <c r="MM54" s="758"/>
      <c r="MN54" s="758"/>
      <c r="MO54" s="758"/>
      <c r="MP54" s="758"/>
      <c r="MQ54" s="758"/>
      <c r="MR54" s="758"/>
      <c r="MS54" s="758"/>
      <c r="MT54" s="758"/>
      <c r="MU54" s="758"/>
      <c r="MV54" s="758"/>
      <c r="MW54" s="758"/>
      <c r="MX54" s="758"/>
      <c r="MY54" s="758"/>
      <c r="MZ54" s="758"/>
      <c r="NA54" s="758"/>
      <c r="NB54" s="758"/>
      <c r="NC54" s="758"/>
      <c r="ND54" s="758"/>
      <c r="NE54" s="758"/>
    </row>
    <row r="55" spans="1:369" s="758" customFormat="1" ht="12.75" customHeight="1">
      <c r="A55" s="773"/>
      <c r="B55" s="753"/>
      <c r="C55" s="753"/>
      <c r="D55" s="753"/>
      <c r="E55" s="753"/>
      <c r="F55" s="753"/>
      <c r="G55" s="753"/>
      <c r="H55" s="753"/>
      <c r="I55" s="753"/>
      <c r="J55" s="1061"/>
      <c r="K55" s="1125"/>
      <c r="L55" s="1039"/>
      <c r="M55" s="1039"/>
      <c r="N55" s="1039"/>
      <c r="O55" s="1090"/>
      <c r="P55" s="1039"/>
      <c r="Q55" s="1039"/>
      <c r="R55" s="1039"/>
      <c r="S55" s="1039"/>
      <c r="T55" s="1110"/>
      <c r="U55" s="1110"/>
      <c r="V55" s="1088"/>
      <c r="W55" s="1088"/>
      <c r="X55" s="1039"/>
      <c r="Y55" s="1088"/>
      <c r="Z55" s="1088"/>
      <c r="AI55" s="1034"/>
      <c r="AJ55" s="1034"/>
      <c r="AK55" s="1034"/>
      <c r="AL55" s="1034"/>
      <c r="AM55" s="1034"/>
      <c r="AN55" s="1034"/>
      <c r="AO55" s="1034"/>
      <c r="CN55" s="753"/>
      <c r="CO55" s="753"/>
      <c r="CP55" s="753"/>
      <c r="CQ55" s="753"/>
      <c r="CR55" s="753"/>
      <c r="CS55" s="753"/>
      <c r="CT55" s="753"/>
      <c r="CU55" s="753"/>
      <c r="CV55" s="753"/>
      <c r="CW55" s="753"/>
      <c r="CX55" s="753"/>
      <c r="CY55" s="753"/>
      <c r="CZ55" s="753"/>
      <c r="DA55" s="753"/>
      <c r="DB55" s="753"/>
      <c r="DC55" s="753"/>
      <c r="DD55" s="753"/>
      <c r="DE55" s="753"/>
      <c r="DF55" s="753"/>
      <c r="DG55" s="753"/>
      <c r="DH55" s="753"/>
      <c r="DI55" s="753"/>
      <c r="DJ55" s="753"/>
      <c r="DK55" s="753"/>
      <c r="DL55" s="753"/>
      <c r="DM55" s="776"/>
      <c r="DR55" s="753"/>
      <c r="DS55" s="778"/>
      <c r="DT55" s="770"/>
      <c r="DW55" s="819"/>
    </row>
    <row r="56" spans="1:369" s="758" customFormat="1" ht="12.75" customHeight="1">
      <c r="A56" s="773"/>
      <c r="B56" s="773"/>
      <c r="C56" s="773"/>
      <c r="D56" s="773"/>
      <c r="E56" s="773"/>
      <c r="F56" s="773"/>
      <c r="G56" s="773"/>
      <c r="H56" s="773"/>
      <c r="I56" s="773"/>
      <c r="J56" s="1061"/>
      <c r="K56" s="1125"/>
      <c r="L56" s="1039"/>
      <c r="M56" s="1039"/>
      <c r="N56" s="1039"/>
      <c r="O56" s="1090"/>
      <c r="P56" s="1039"/>
      <c r="Q56" s="1039"/>
      <c r="R56" s="1039"/>
      <c r="S56" s="1039"/>
      <c r="T56" s="1039"/>
      <c r="U56" s="1039"/>
      <c r="V56" s="1039"/>
      <c r="W56" s="1039"/>
      <c r="X56" s="1039"/>
      <c r="Y56" s="1088"/>
      <c r="Z56" s="1088"/>
      <c r="AI56" s="1034"/>
      <c r="AJ56" s="1034"/>
      <c r="AK56" s="1034"/>
      <c r="AL56" s="1034"/>
      <c r="AM56" s="1034"/>
      <c r="AN56" s="1034"/>
      <c r="AO56" s="1034"/>
      <c r="CN56" s="753"/>
      <c r="CO56" s="753"/>
      <c r="CP56" s="753"/>
      <c r="CQ56" s="753"/>
      <c r="CR56" s="753"/>
      <c r="CS56" s="753"/>
      <c r="CT56" s="753"/>
      <c r="CU56" s="753"/>
      <c r="CV56" s="753"/>
      <c r="CW56" s="753"/>
      <c r="CX56" s="753"/>
      <c r="CY56" s="753"/>
      <c r="CZ56" s="753"/>
      <c r="DA56" s="753"/>
      <c r="DB56" s="753"/>
      <c r="DC56" s="753"/>
      <c r="DD56" s="753"/>
      <c r="DE56" s="753"/>
      <c r="DF56" s="753"/>
      <c r="DG56" s="753"/>
      <c r="DH56" s="753"/>
      <c r="DI56" s="753"/>
      <c r="DJ56" s="753"/>
      <c r="DK56" s="753"/>
      <c r="DL56" s="753"/>
      <c r="DM56" s="776"/>
      <c r="DR56" s="753"/>
      <c r="DS56" s="778"/>
      <c r="DT56" s="770"/>
      <c r="DW56" s="819"/>
    </row>
    <row r="57" spans="1:369" s="758" customFormat="1" ht="12.75" customHeight="1">
      <c r="A57" s="773"/>
      <c r="B57" s="773"/>
      <c r="C57" s="773"/>
      <c r="D57" s="773"/>
      <c r="E57" s="773"/>
      <c r="F57" s="773"/>
      <c r="G57" s="773"/>
      <c r="H57" s="773"/>
      <c r="I57" s="773"/>
      <c r="J57" s="1061"/>
      <c r="K57" s="1125"/>
      <c r="L57" s="1039"/>
      <c r="M57" s="1039"/>
      <c r="N57" s="1039"/>
      <c r="O57" s="1090"/>
      <c r="P57" s="1039"/>
      <c r="Q57" s="1039"/>
      <c r="R57" s="1039"/>
      <c r="S57" s="1039"/>
      <c r="T57" s="1039"/>
      <c r="U57" s="1039"/>
      <c r="V57" s="1039"/>
      <c r="W57" s="1039"/>
      <c r="X57" s="1088"/>
      <c r="Y57" s="1088"/>
      <c r="Z57" s="1088"/>
      <c r="AI57" s="1034"/>
      <c r="AJ57" s="1034"/>
      <c r="AK57" s="1034"/>
      <c r="AL57" s="1034"/>
      <c r="AM57" s="1034"/>
      <c r="AN57" s="1034"/>
      <c r="AO57" s="1034"/>
      <c r="CN57" s="753"/>
      <c r="CO57" s="753"/>
      <c r="CP57" s="753"/>
      <c r="CQ57" s="753"/>
      <c r="CR57" s="753"/>
      <c r="CS57" s="753"/>
      <c r="CT57" s="753"/>
      <c r="CU57" s="753"/>
      <c r="CV57" s="753"/>
      <c r="CW57" s="753"/>
      <c r="CX57" s="753"/>
      <c r="CY57" s="753"/>
      <c r="CZ57" s="753"/>
      <c r="DA57" s="753"/>
      <c r="DB57" s="753"/>
      <c r="DC57" s="753"/>
      <c r="DD57" s="753"/>
      <c r="DE57" s="753"/>
      <c r="DF57" s="753"/>
      <c r="DG57" s="753"/>
      <c r="DH57" s="753"/>
      <c r="DI57" s="753"/>
      <c r="DJ57" s="753"/>
      <c r="DK57" s="753"/>
      <c r="DL57" s="753"/>
      <c r="DM57" s="776"/>
      <c r="DR57" s="753"/>
      <c r="DS57" s="778"/>
      <c r="DT57" s="770"/>
      <c r="DW57" s="819"/>
    </row>
    <row r="58" spans="1:369" s="758" customFormat="1" ht="12.75" customHeight="1">
      <c r="A58" s="773"/>
      <c r="B58" s="773"/>
      <c r="C58" s="773"/>
      <c r="D58" s="773"/>
      <c r="E58" s="773"/>
      <c r="F58" s="773"/>
      <c r="G58" s="773"/>
      <c r="H58" s="773"/>
      <c r="I58" s="773"/>
      <c r="J58" s="1061"/>
      <c r="K58" s="1125"/>
      <c r="L58" s="1039"/>
      <c r="M58" s="1039"/>
      <c r="N58" s="1039"/>
      <c r="O58" s="1090"/>
      <c r="P58" s="1039"/>
      <c r="Q58" s="1039"/>
      <c r="R58" s="1039"/>
      <c r="S58" s="1039"/>
      <c r="T58" s="1039"/>
      <c r="U58" s="1039"/>
      <c r="V58" s="1039"/>
      <c r="W58" s="1039"/>
      <c r="X58" s="1088"/>
      <c r="Y58" s="1088"/>
      <c r="Z58" s="1088"/>
      <c r="AI58" s="1034"/>
      <c r="AJ58" s="1034"/>
      <c r="AK58" s="1034"/>
      <c r="AL58" s="1034"/>
      <c r="AM58" s="1034"/>
      <c r="AN58" s="1034"/>
      <c r="AO58" s="1034"/>
      <c r="CN58" s="753"/>
      <c r="CO58" s="753"/>
      <c r="CP58" s="753"/>
      <c r="CQ58" s="753"/>
      <c r="CR58" s="753"/>
      <c r="CS58" s="753"/>
      <c r="CT58" s="753"/>
      <c r="CU58" s="753"/>
      <c r="CV58" s="753"/>
      <c r="CW58" s="753"/>
      <c r="CX58" s="753"/>
      <c r="CY58" s="753"/>
      <c r="CZ58" s="753"/>
      <c r="DA58" s="753"/>
      <c r="DB58" s="753"/>
      <c r="DC58" s="753"/>
      <c r="DD58" s="753"/>
      <c r="DE58" s="753"/>
      <c r="DF58" s="753"/>
      <c r="DG58" s="753"/>
      <c r="DH58" s="753"/>
      <c r="DI58" s="753"/>
      <c r="DJ58" s="753"/>
      <c r="DK58" s="753"/>
      <c r="DL58" s="753"/>
      <c r="DM58" s="776"/>
      <c r="DR58" s="753"/>
      <c r="DS58" s="778"/>
      <c r="DT58" s="770"/>
      <c r="DW58" s="819"/>
    </row>
    <row r="59" spans="1:369" s="758" customFormat="1" ht="12.75" customHeight="1">
      <c r="A59" s="773"/>
      <c r="B59" s="773"/>
      <c r="C59" s="1047"/>
      <c r="D59" s="773"/>
      <c r="E59" s="773"/>
      <c r="F59" s="773"/>
      <c r="G59" s="773"/>
      <c r="H59" s="773"/>
      <c r="I59" s="773"/>
      <c r="J59" s="1061"/>
      <c r="K59" s="1125"/>
      <c r="L59" s="1039"/>
      <c r="M59" s="1039"/>
      <c r="N59" s="1039"/>
      <c r="O59" s="1090"/>
      <c r="P59" s="1039"/>
      <c r="Q59" s="1039"/>
      <c r="R59" s="1039"/>
      <c r="S59" s="1039"/>
      <c r="T59" s="1134"/>
      <c r="U59" s="1110"/>
      <c r="V59" s="1135"/>
      <c r="W59" s="1135"/>
      <c r="X59" s="1088"/>
      <c r="Y59" s="1088"/>
      <c r="Z59" s="1088"/>
      <c r="AI59" s="1034"/>
      <c r="AJ59" s="1034"/>
      <c r="AK59" s="1034"/>
      <c r="AL59" s="1034"/>
      <c r="AM59" s="1034"/>
      <c r="AN59" s="1034"/>
      <c r="AO59" s="1034"/>
      <c r="CN59" s="753"/>
      <c r="CO59" s="753"/>
      <c r="CP59" s="753"/>
      <c r="CQ59" s="753"/>
      <c r="CR59" s="753"/>
      <c r="CS59" s="753"/>
      <c r="CT59" s="753"/>
      <c r="CU59" s="753"/>
      <c r="CV59" s="753"/>
      <c r="CW59" s="753"/>
      <c r="CX59" s="753"/>
      <c r="CY59" s="753"/>
      <c r="CZ59" s="753"/>
      <c r="DA59" s="753"/>
      <c r="DB59" s="753"/>
      <c r="DC59" s="753"/>
      <c r="DD59" s="753"/>
      <c r="DE59" s="753"/>
      <c r="DF59" s="753"/>
      <c r="DG59" s="753"/>
      <c r="DH59" s="753"/>
      <c r="DI59" s="753"/>
      <c r="DJ59" s="753"/>
      <c r="DK59" s="753"/>
      <c r="DL59" s="753"/>
      <c r="DM59" s="776"/>
      <c r="DR59" s="753"/>
      <c r="DS59" s="778"/>
      <c r="DT59" s="770"/>
      <c r="DW59" s="819"/>
    </row>
    <row r="60" spans="1:369" s="758" customFormat="1" ht="12.75" customHeight="1">
      <c r="A60" s="773"/>
      <c r="B60" s="773"/>
      <c r="C60" s="772"/>
      <c r="D60" s="841"/>
      <c r="E60" s="773"/>
      <c r="F60" s="773"/>
      <c r="G60" s="773"/>
      <c r="H60" s="773"/>
      <c r="I60" s="773"/>
      <c r="J60" s="1061"/>
      <c r="K60" s="1125"/>
      <c r="L60" s="1039"/>
      <c r="M60" s="1039"/>
      <c r="N60" s="1039"/>
      <c r="O60" s="1090"/>
      <c r="P60" s="1039"/>
      <c r="Q60" s="1039"/>
      <c r="R60" s="1039"/>
      <c r="S60" s="1039"/>
      <c r="T60" s="1134"/>
      <c r="U60" s="1110"/>
      <c r="V60" s="1135"/>
      <c r="W60" s="1135"/>
      <c r="X60" s="1088"/>
      <c r="Y60" s="1088"/>
      <c r="Z60" s="1088"/>
      <c r="AI60" s="1034"/>
      <c r="AJ60" s="1034"/>
      <c r="AK60" s="1034"/>
      <c r="AL60" s="1034"/>
      <c r="AM60" s="1034"/>
      <c r="AN60" s="1034"/>
      <c r="AO60" s="1034"/>
      <c r="CN60" s="753"/>
      <c r="CO60" s="753"/>
      <c r="CP60" s="753"/>
      <c r="CQ60" s="753"/>
      <c r="CR60" s="753"/>
      <c r="CS60" s="753"/>
      <c r="CT60" s="753"/>
      <c r="CU60" s="753"/>
      <c r="CV60" s="753"/>
      <c r="CW60" s="753"/>
      <c r="CX60" s="753"/>
      <c r="CY60" s="753"/>
      <c r="CZ60" s="753"/>
      <c r="DA60" s="753"/>
      <c r="DB60" s="753"/>
      <c r="DC60" s="753"/>
      <c r="DD60" s="753"/>
      <c r="DE60" s="753"/>
      <c r="DF60" s="753"/>
      <c r="DG60" s="753"/>
      <c r="DH60" s="753"/>
      <c r="DI60" s="753"/>
      <c r="DJ60" s="753"/>
      <c r="DK60" s="753"/>
      <c r="DL60" s="753"/>
      <c r="DM60" s="776"/>
      <c r="DR60" s="753"/>
      <c r="DS60" s="778"/>
      <c r="DT60" s="770"/>
      <c r="DW60" s="819"/>
    </row>
    <row r="61" spans="1:369" s="758" customFormat="1" ht="12.75" customHeight="1">
      <c r="A61" s="773"/>
      <c r="B61" s="1042"/>
      <c r="C61" s="841"/>
      <c r="D61" s="841"/>
      <c r="E61" s="773"/>
      <c r="F61" s="773"/>
      <c r="G61" s="773"/>
      <c r="H61" s="773"/>
      <c r="I61" s="773"/>
      <c r="J61" s="1039"/>
      <c r="K61" s="1125"/>
      <c r="L61" s="1039"/>
      <c r="M61" s="1039"/>
      <c r="N61" s="1039"/>
      <c r="O61" s="1090"/>
      <c r="P61" s="1039"/>
      <c r="Q61" s="1039"/>
      <c r="R61" s="1039"/>
      <c r="S61" s="1039"/>
      <c r="T61" s="1134"/>
      <c r="U61" s="1110"/>
      <c r="V61" s="1135"/>
      <c r="W61" s="1135"/>
      <c r="X61" s="1088"/>
      <c r="Y61" s="1088"/>
      <c r="Z61" s="1088"/>
      <c r="AI61" s="1034"/>
      <c r="AJ61" s="1034"/>
      <c r="AK61" s="1034"/>
      <c r="AL61" s="1034"/>
      <c r="AM61" s="1034"/>
      <c r="AN61" s="1034"/>
      <c r="AO61" s="1034"/>
      <c r="CN61" s="753"/>
      <c r="CO61" s="753"/>
      <c r="CP61" s="753"/>
      <c r="CQ61" s="753"/>
      <c r="CR61" s="753"/>
      <c r="CS61" s="753"/>
      <c r="CT61" s="753"/>
      <c r="CU61" s="753"/>
      <c r="CV61" s="753"/>
      <c r="CW61" s="753"/>
      <c r="CX61" s="753"/>
      <c r="CY61" s="753"/>
      <c r="CZ61" s="753"/>
      <c r="DA61" s="753"/>
      <c r="DB61" s="753"/>
      <c r="DC61" s="753"/>
      <c r="DD61" s="753"/>
      <c r="DE61" s="753"/>
      <c r="DF61" s="753"/>
      <c r="DG61" s="753"/>
      <c r="DH61" s="753"/>
      <c r="DI61" s="753"/>
      <c r="DJ61" s="753"/>
      <c r="DK61" s="753"/>
      <c r="DL61" s="753"/>
      <c r="DM61" s="776"/>
      <c r="DR61" s="753"/>
      <c r="DS61" s="778"/>
      <c r="DT61" s="770"/>
      <c r="DW61" s="819"/>
    </row>
    <row r="62" spans="1:369" s="758" customFormat="1" ht="12.75" customHeight="1">
      <c r="A62" s="773"/>
      <c r="B62" s="1043"/>
      <c r="C62" s="772"/>
      <c r="D62" s="772"/>
      <c r="E62" s="773"/>
      <c r="F62" s="773"/>
      <c r="G62" s="773"/>
      <c r="H62" s="773"/>
      <c r="I62" s="773"/>
      <c r="J62" s="1063"/>
      <c r="K62" s="1125"/>
      <c r="L62" s="1039"/>
      <c r="M62" s="1133"/>
      <c r="N62" s="1039"/>
      <c r="O62" s="1090"/>
      <c r="P62" s="1039"/>
      <c r="Q62" s="1039"/>
      <c r="R62" s="1039"/>
      <c r="S62" s="1039"/>
      <c r="T62" s="1134"/>
      <c r="U62" s="1110"/>
      <c r="V62" s="1135"/>
      <c r="W62" s="1135"/>
      <c r="X62" s="1088"/>
      <c r="Y62" s="1088"/>
      <c r="Z62" s="1088"/>
      <c r="AI62" s="1034"/>
      <c r="AJ62" s="1034"/>
      <c r="AK62" s="1034"/>
      <c r="AL62" s="1034"/>
      <c r="AM62" s="1034"/>
      <c r="AN62" s="1034"/>
      <c r="AO62" s="1034"/>
      <c r="CN62" s="753"/>
      <c r="CO62" s="753"/>
      <c r="CP62" s="753"/>
      <c r="CQ62" s="753"/>
      <c r="CR62" s="753"/>
      <c r="CS62" s="753"/>
      <c r="CT62" s="753"/>
      <c r="CU62" s="753"/>
      <c r="CV62" s="753"/>
      <c r="CW62" s="753"/>
      <c r="CX62" s="753"/>
      <c r="CY62" s="753"/>
      <c r="CZ62" s="753"/>
      <c r="DA62" s="753"/>
      <c r="DB62" s="753"/>
      <c r="DC62" s="753"/>
      <c r="DD62" s="753"/>
      <c r="DE62" s="753"/>
      <c r="DF62" s="753"/>
      <c r="DG62" s="753"/>
      <c r="DH62" s="753"/>
      <c r="DI62" s="753"/>
      <c r="DJ62" s="753"/>
      <c r="DK62" s="753"/>
      <c r="DL62" s="753"/>
      <c r="DM62" s="776"/>
      <c r="DR62" s="753"/>
      <c r="DS62" s="778"/>
      <c r="DT62" s="770"/>
      <c r="DW62" s="819"/>
    </row>
    <row r="63" spans="1:369" s="758" customFormat="1" ht="12.75" customHeight="1">
      <c r="A63" s="773"/>
      <c r="B63" s="1043"/>
      <c r="C63" s="772"/>
      <c r="D63" s="1048"/>
      <c r="E63" s="773"/>
      <c r="F63" s="773"/>
      <c r="G63" s="773"/>
      <c r="H63" s="773"/>
      <c r="I63" s="773"/>
      <c r="J63" s="1063"/>
      <c r="K63" s="1125"/>
      <c r="L63" s="1039"/>
      <c r="M63" s="1039"/>
      <c r="N63" s="1039"/>
      <c r="O63" s="1090"/>
      <c r="P63" s="1039"/>
      <c r="Q63" s="1039"/>
      <c r="R63" s="1039"/>
      <c r="S63" s="1039"/>
      <c r="T63" s="1134"/>
      <c r="U63" s="1110"/>
      <c r="V63" s="1135"/>
      <c r="W63" s="1135"/>
      <c r="X63" s="1110"/>
      <c r="Y63" s="1110"/>
      <c r="Z63" s="1110"/>
      <c r="AI63" s="1034"/>
      <c r="AJ63" s="1034"/>
      <c r="AK63" s="1034"/>
      <c r="AL63" s="1034"/>
      <c r="AM63" s="1034"/>
      <c r="AN63" s="1034"/>
      <c r="AO63" s="1034"/>
      <c r="CN63" s="753"/>
      <c r="CO63" s="753"/>
      <c r="CP63" s="753"/>
      <c r="CQ63" s="753"/>
      <c r="CR63" s="753"/>
      <c r="CS63" s="753"/>
      <c r="CT63" s="753"/>
      <c r="CU63" s="753"/>
      <c r="CV63" s="753"/>
      <c r="CW63" s="753"/>
      <c r="CX63" s="753"/>
      <c r="CY63" s="753"/>
      <c r="CZ63" s="753"/>
      <c r="DA63" s="753"/>
      <c r="DB63" s="753"/>
      <c r="DC63" s="753"/>
      <c r="DD63" s="753"/>
      <c r="DE63" s="753"/>
      <c r="DF63" s="753"/>
      <c r="DG63" s="753"/>
      <c r="DH63" s="753"/>
      <c r="DI63" s="753"/>
      <c r="DJ63" s="753"/>
      <c r="DK63" s="753"/>
      <c r="DL63" s="753"/>
      <c r="DM63" s="776"/>
      <c r="DR63" s="753"/>
      <c r="DS63" s="778"/>
      <c r="DT63" s="770"/>
      <c r="DW63" s="819"/>
    </row>
    <row r="64" spans="1:369" s="758" customFormat="1" ht="12.75" customHeight="1">
      <c r="A64" s="773"/>
      <c r="B64" s="1043"/>
      <c r="C64" s="772"/>
      <c r="D64" s="772"/>
      <c r="E64" s="773"/>
      <c r="F64" s="773"/>
      <c r="G64" s="773"/>
      <c r="H64" s="773"/>
      <c r="I64" s="773"/>
      <c r="J64" s="1063"/>
      <c r="K64" s="1125"/>
      <c r="L64" s="1039"/>
      <c r="M64" s="1039"/>
      <c r="N64" s="1039"/>
      <c r="O64" s="1090"/>
      <c r="P64" s="1039"/>
      <c r="Q64" s="1039"/>
      <c r="R64" s="1039"/>
      <c r="S64" s="1039"/>
      <c r="T64" s="1134"/>
      <c r="U64" s="1110"/>
      <c r="V64" s="1135"/>
      <c r="W64" s="1135"/>
      <c r="X64" s="1088"/>
      <c r="Y64" s="1088"/>
      <c r="Z64" s="1088"/>
      <c r="AI64" s="1034"/>
      <c r="AJ64" s="1034"/>
      <c r="AK64" s="1034"/>
      <c r="AL64" s="1034"/>
      <c r="AM64" s="1034"/>
      <c r="AN64" s="1034"/>
      <c r="AO64" s="1034"/>
      <c r="CN64" s="753"/>
      <c r="CO64" s="753"/>
      <c r="CP64" s="753"/>
      <c r="CQ64" s="753"/>
      <c r="CR64" s="753"/>
      <c r="CS64" s="753"/>
      <c r="CT64" s="753"/>
      <c r="CU64" s="753"/>
      <c r="CV64" s="753"/>
      <c r="CW64" s="753"/>
      <c r="CX64" s="753"/>
      <c r="CY64" s="753"/>
      <c r="CZ64" s="753"/>
      <c r="DA64" s="753"/>
      <c r="DB64" s="753"/>
      <c r="DC64" s="753"/>
      <c r="DD64" s="753"/>
      <c r="DE64" s="753"/>
      <c r="DF64" s="753"/>
      <c r="DG64" s="753"/>
      <c r="DH64" s="753"/>
      <c r="DI64" s="753"/>
      <c r="DJ64" s="753"/>
      <c r="DK64" s="753"/>
      <c r="DL64" s="753"/>
      <c r="DM64" s="776"/>
      <c r="DR64" s="753"/>
      <c r="DS64" s="778"/>
      <c r="DT64" s="770"/>
      <c r="DW64" s="819"/>
    </row>
    <row r="65" spans="1:127" s="758" customFormat="1" ht="12.75" customHeight="1">
      <c r="A65" s="773"/>
      <c r="B65" s="1043"/>
      <c r="C65" s="772"/>
      <c r="D65" s="772"/>
      <c r="E65" s="773"/>
      <c r="F65" s="773"/>
      <c r="G65" s="773"/>
      <c r="H65" s="773"/>
      <c r="I65" s="773"/>
      <c r="J65" s="1063"/>
      <c r="K65" s="1125"/>
      <c r="L65" s="1039"/>
      <c r="M65" s="1039"/>
      <c r="N65" s="1039"/>
      <c r="O65" s="1090"/>
      <c r="P65" s="1039"/>
      <c r="Q65" s="1039"/>
      <c r="R65" s="1039"/>
      <c r="S65" s="1039"/>
      <c r="T65" s="1136"/>
      <c r="U65" s="1110"/>
      <c r="V65" s="1110"/>
      <c r="W65" s="1110"/>
      <c r="X65" s="1088"/>
      <c r="Y65" s="1088"/>
      <c r="Z65" s="1088"/>
      <c r="AI65" s="1034"/>
      <c r="AJ65" s="1034"/>
      <c r="AK65" s="1034"/>
      <c r="AL65" s="1034"/>
      <c r="AM65" s="1034"/>
      <c r="AN65" s="1034"/>
      <c r="AO65" s="1034"/>
      <c r="CN65" s="753"/>
      <c r="CO65" s="753"/>
      <c r="CP65" s="753"/>
      <c r="CQ65" s="753"/>
      <c r="CR65" s="753"/>
      <c r="CS65" s="753"/>
      <c r="CT65" s="753"/>
      <c r="CU65" s="753"/>
      <c r="CV65" s="753"/>
      <c r="CW65" s="753"/>
      <c r="CX65" s="753"/>
      <c r="CY65" s="753"/>
      <c r="CZ65" s="753"/>
      <c r="DA65" s="753"/>
      <c r="DB65" s="753"/>
      <c r="DC65" s="753"/>
      <c r="DD65" s="753"/>
      <c r="DE65" s="753"/>
      <c r="DF65" s="753"/>
      <c r="DG65" s="753"/>
      <c r="DH65" s="753"/>
      <c r="DI65" s="753"/>
      <c r="DJ65" s="753"/>
      <c r="DK65" s="753"/>
      <c r="DL65" s="753"/>
      <c r="DM65" s="776"/>
      <c r="DR65" s="753"/>
      <c r="DS65" s="778"/>
      <c r="DT65" s="770"/>
      <c r="DW65" s="819"/>
    </row>
    <row r="66" spans="1:127" s="758" customFormat="1" ht="12.75" customHeight="1">
      <c r="A66" s="773"/>
      <c r="B66" s="1043"/>
      <c r="C66" s="772"/>
      <c r="D66" s="772"/>
      <c r="E66" s="773"/>
      <c r="F66" s="773"/>
      <c r="G66" s="773"/>
      <c r="H66" s="773"/>
      <c r="I66" s="773"/>
      <c r="J66" s="1063"/>
      <c r="K66" s="1125"/>
      <c r="L66" s="1039"/>
      <c r="M66" s="1039"/>
      <c r="N66" s="1039"/>
      <c r="O66" s="1090"/>
      <c r="P66" s="1039"/>
      <c r="Q66" s="1039"/>
      <c r="R66" s="1039"/>
      <c r="S66" s="1039"/>
      <c r="T66" s="1110"/>
      <c r="U66" s="1429"/>
      <c r="V66" s="1135"/>
      <c r="W66" s="1135"/>
      <c r="X66" s="1088"/>
      <c r="Y66" s="1088"/>
      <c r="Z66" s="1088"/>
      <c r="AI66" s="1034"/>
      <c r="AJ66" s="1034"/>
      <c r="AK66" s="1034"/>
      <c r="AL66" s="1034"/>
      <c r="AM66" s="1034"/>
      <c r="AN66" s="1034"/>
      <c r="AO66" s="1034"/>
      <c r="CN66" s="753"/>
      <c r="CO66" s="753"/>
      <c r="CP66" s="753"/>
      <c r="CQ66" s="753"/>
      <c r="CR66" s="753"/>
      <c r="CS66" s="753"/>
      <c r="CT66" s="753"/>
      <c r="CU66" s="753"/>
      <c r="CV66" s="753"/>
      <c r="CW66" s="753"/>
      <c r="CX66" s="753"/>
      <c r="CY66" s="753"/>
      <c r="CZ66" s="753"/>
      <c r="DA66" s="753"/>
      <c r="DB66" s="753"/>
      <c r="DC66" s="753"/>
      <c r="DD66" s="753"/>
      <c r="DE66" s="753"/>
      <c r="DF66" s="753"/>
      <c r="DG66" s="753"/>
      <c r="DH66" s="753"/>
      <c r="DI66" s="753"/>
      <c r="DJ66" s="753"/>
      <c r="DK66" s="753"/>
      <c r="DL66" s="753"/>
      <c r="DM66" s="776"/>
      <c r="DR66" s="753"/>
      <c r="DS66" s="778"/>
      <c r="DT66" s="770"/>
      <c r="DW66" s="819"/>
    </row>
    <row r="67" spans="1:127" s="758" customFormat="1" ht="12.75" customHeight="1">
      <c r="A67" s="773"/>
      <c r="B67" s="773"/>
      <c r="C67" s="773"/>
      <c r="D67" s="773"/>
      <c r="E67" s="773"/>
      <c r="F67" s="773"/>
      <c r="G67" s="773"/>
      <c r="H67" s="773"/>
      <c r="I67" s="773"/>
      <c r="J67" s="1063"/>
      <c r="K67" s="1125"/>
      <c r="L67" s="1104"/>
      <c r="M67" s="1049"/>
      <c r="N67" s="1137"/>
      <c r="O67" s="1130"/>
      <c r="P67" s="783"/>
      <c r="Q67" s="1039"/>
      <c r="R67" s="1039"/>
      <c r="S67" s="1039"/>
      <c r="T67" s="1110"/>
      <c r="U67" s="1426"/>
      <c r="V67" s="1135"/>
      <c r="W67" s="1135"/>
      <c r="X67" s="1088"/>
      <c r="Y67" s="1088"/>
      <c r="Z67" s="1088"/>
      <c r="AI67" s="1034"/>
      <c r="AJ67" s="1034"/>
      <c r="AK67" s="1034"/>
      <c r="AL67" s="1034"/>
      <c r="AM67" s="1034"/>
      <c r="AN67" s="1034"/>
      <c r="AO67" s="1034"/>
      <c r="CN67" s="753"/>
      <c r="CO67" s="753"/>
      <c r="CP67" s="753"/>
      <c r="CQ67" s="753"/>
      <c r="CR67" s="753"/>
      <c r="CS67" s="753"/>
      <c r="CT67" s="753"/>
      <c r="CU67" s="753"/>
      <c r="CV67" s="753"/>
      <c r="CW67" s="753"/>
      <c r="CX67" s="753"/>
      <c r="CY67" s="753"/>
      <c r="CZ67" s="753"/>
      <c r="DA67" s="753"/>
      <c r="DB67" s="753"/>
      <c r="DC67" s="753"/>
      <c r="DD67" s="753"/>
      <c r="DE67" s="753"/>
      <c r="DF67" s="753"/>
      <c r="DG67" s="753"/>
      <c r="DH67" s="753"/>
      <c r="DI67" s="753"/>
      <c r="DJ67" s="753"/>
      <c r="DK67" s="753"/>
      <c r="DL67" s="753"/>
      <c r="DM67" s="776"/>
      <c r="DR67" s="753"/>
      <c r="DS67" s="778"/>
      <c r="DT67" s="770"/>
      <c r="DW67" s="819"/>
    </row>
    <row r="68" spans="1:127" s="758" customFormat="1" ht="12.75" customHeight="1">
      <c r="A68" s="773"/>
      <c r="B68" s="773"/>
      <c r="C68" s="773"/>
      <c r="D68" s="772"/>
      <c r="E68" s="841"/>
      <c r="F68" s="773"/>
      <c r="G68" s="773"/>
      <c r="H68" s="773"/>
      <c r="I68" s="773"/>
      <c r="J68" s="1076"/>
      <c r="K68" s="1125"/>
      <c r="L68" s="1104"/>
      <c r="M68" s="1138"/>
      <c r="N68" s="1083"/>
      <c r="O68" s="1130"/>
      <c r="P68" s="1130"/>
      <c r="Q68" s="1039"/>
      <c r="R68" s="1039"/>
      <c r="S68" s="1039"/>
      <c r="T68" s="1110"/>
      <c r="U68" s="1429"/>
      <c r="V68" s="1135"/>
      <c r="W68" s="1135"/>
      <c r="X68" s="1088"/>
      <c r="Y68" s="1088"/>
      <c r="Z68" s="1088"/>
      <c r="AI68" s="1034"/>
      <c r="AJ68" s="1034"/>
      <c r="AK68" s="1034"/>
      <c r="AL68" s="1034"/>
      <c r="AM68" s="1034"/>
      <c r="AN68" s="1034"/>
      <c r="AO68" s="1034"/>
      <c r="CN68" s="753"/>
      <c r="CO68" s="753"/>
      <c r="CP68" s="753"/>
      <c r="CQ68" s="753"/>
      <c r="CR68" s="753"/>
      <c r="CS68" s="753"/>
      <c r="CT68" s="753"/>
      <c r="CU68" s="753"/>
      <c r="CV68" s="753"/>
      <c r="CW68" s="753"/>
      <c r="CX68" s="753"/>
      <c r="CY68" s="753"/>
      <c r="CZ68" s="753"/>
      <c r="DA68" s="753"/>
      <c r="DB68" s="753"/>
      <c r="DC68" s="753"/>
      <c r="DD68" s="753"/>
      <c r="DE68" s="753"/>
      <c r="DF68" s="753"/>
      <c r="DG68" s="753"/>
      <c r="DH68" s="753"/>
      <c r="DI68" s="753"/>
      <c r="DJ68" s="753"/>
      <c r="DK68" s="753"/>
      <c r="DL68" s="753"/>
      <c r="DM68" s="776"/>
      <c r="DR68" s="753"/>
      <c r="DS68" s="778"/>
      <c r="DT68" s="770"/>
      <c r="DW68" s="819"/>
    </row>
    <row r="69" spans="1:127" s="758" customFormat="1" ht="12.75" customHeight="1">
      <c r="A69" s="773"/>
      <c r="B69" s="773"/>
      <c r="C69" s="773"/>
      <c r="D69" s="773"/>
      <c r="E69" s="773"/>
      <c r="F69" s="773"/>
      <c r="G69" s="773"/>
      <c r="H69" s="773"/>
      <c r="I69" s="773"/>
      <c r="J69" s="1076"/>
      <c r="K69" s="1125"/>
      <c r="L69" s="1104"/>
      <c r="M69" s="1138"/>
      <c r="N69" s="1083"/>
      <c r="O69" s="1130"/>
      <c r="P69" s="1130"/>
      <c r="Q69" s="1039"/>
      <c r="R69" s="1039"/>
      <c r="S69" s="1039"/>
      <c r="T69" s="1110"/>
      <c r="U69" s="1429"/>
      <c r="V69" s="1135"/>
      <c r="W69" s="1135"/>
      <c r="X69" s="1088"/>
      <c r="Y69" s="1088"/>
      <c r="Z69" s="1088"/>
      <c r="AI69" s="1034"/>
      <c r="AJ69" s="1034"/>
      <c r="AK69" s="1034"/>
      <c r="AL69" s="1034"/>
      <c r="AM69" s="1034"/>
      <c r="AN69" s="1034"/>
      <c r="AO69" s="1034"/>
      <c r="CN69" s="753"/>
      <c r="CO69" s="753"/>
      <c r="CP69" s="753"/>
      <c r="CQ69" s="753"/>
      <c r="CR69" s="753"/>
      <c r="CS69" s="753"/>
      <c r="CT69" s="753"/>
      <c r="CU69" s="753"/>
      <c r="CV69" s="753"/>
      <c r="CW69" s="753"/>
      <c r="CX69" s="753"/>
      <c r="CY69" s="753"/>
      <c r="CZ69" s="753"/>
      <c r="DA69" s="753"/>
      <c r="DB69" s="753"/>
      <c r="DC69" s="753"/>
      <c r="DD69" s="753"/>
      <c r="DE69" s="753"/>
      <c r="DF69" s="753"/>
      <c r="DG69" s="753"/>
      <c r="DH69" s="753"/>
      <c r="DI69" s="753"/>
      <c r="DJ69" s="753"/>
      <c r="DK69" s="753"/>
      <c r="DL69" s="753"/>
      <c r="DM69" s="776"/>
      <c r="DR69" s="753"/>
      <c r="DS69" s="778"/>
      <c r="DT69" s="770"/>
      <c r="DW69" s="819"/>
    </row>
    <row r="70" spans="1:127" s="758" customFormat="1" ht="12.75" customHeight="1">
      <c r="A70" s="773"/>
      <c r="B70" s="773"/>
      <c r="C70" s="773"/>
      <c r="D70" s="773"/>
      <c r="E70" s="773"/>
      <c r="F70" s="773"/>
      <c r="G70" s="773"/>
      <c r="H70" s="773"/>
      <c r="I70" s="773"/>
      <c r="J70" s="1076"/>
      <c r="K70" s="1125"/>
      <c r="L70" s="1104"/>
      <c r="M70" s="1138"/>
      <c r="N70" s="1083"/>
      <c r="O70" s="1130"/>
      <c r="P70" s="1130"/>
      <c r="Q70" s="1039"/>
      <c r="R70" s="1039"/>
      <c r="S70" s="1039"/>
      <c r="T70" s="1134"/>
      <c r="U70" s="1110"/>
      <c r="V70" s="1135"/>
      <c r="W70" s="1135"/>
      <c r="X70" s="1088"/>
      <c r="Y70" s="1088"/>
      <c r="Z70" s="1088"/>
      <c r="AI70" s="1034"/>
      <c r="AJ70" s="1034"/>
      <c r="AK70" s="1034"/>
      <c r="AL70" s="1034"/>
      <c r="AM70" s="1034"/>
      <c r="AN70" s="1034"/>
      <c r="AO70" s="1034"/>
      <c r="CN70" s="753"/>
      <c r="CO70" s="753"/>
      <c r="CP70" s="753"/>
      <c r="CQ70" s="753"/>
      <c r="CR70" s="753"/>
      <c r="CS70" s="753"/>
      <c r="CT70" s="753"/>
      <c r="CU70" s="753"/>
      <c r="CV70" s="753"/>
      <c r="CW70" s="753"/>
      <c r="CX70" s="753"/>
      <c r="CY70" s="753"/>
      <c r="CZ70" s="753"/>
      <c r="DA70" s="753"/>
      <c r="DB70" s="753"/>
      <c r="DC70" s="753"/>
      <c r="DD70" s="753"/>
      <c r="DE70" s="753"/>
      <c r="DF70" s="753"/>
      <c r="DG70" s="753"/>
      <c r="DH70" s="753"/>
      <c r="DI70" s="753"/>
      <c r="DJ70" s="753"/>
      <c r="DK70" s="753"/>
      <c r="DL70" s="753"/>
      <c r="DM70" s="776"/>
      <c r="DR70" s="753"/>
      <c r="DS70" s="778"/>
      <c r="DT70" s="770"/>
      <c r="DW70" s="819"/>
    </row>
    <row r="71" spans="1:127" s="758" customFormat="1" ht="12.75" customHeight="1">
      <c r="A71" s="773"/>
      <c r="B71" s="773"/>
      <c r="C71" s="773"/>
      <c r="D71" s="772"/>
      <c r="E71" s="773"/>
      <c r="F71" s="773"/>
      <c r="G71" s="773"/>
      <c r="H71" s="773"/>
      <c r="I71" s="773"/>
      <c r="J71" s="1076"/>
      <c r="K71" s="1125"/>
      <c r="L71" s="1104"/>
      <c r="M71" s="1138"/>
      <c r="N71" s="1083"/>
      <c r="O71" s="1130"/>
      <c r="P71" s="1130"/>
      <c r="Q71" s="1039"/>
      <c r="R71" s="1039"/>
      <c r="S71" s="1039"/>
      <c r="T71" s="1134"/>
      <c r="U71" s="1110"/>
      <c r="V71" s="1135"/>
      <c r="W71" s="1135"/>
      <c r="X71" s="1088"/>
      <c r="Y71" s="1088"/>
      <c r="Z71" s="1088"/>
      <c r="AI71" s="1034"/>
      <c r="AJ71" s="1034"/>
      <c r="AK71" s="1034"/>
      <c r="AL71" s="1034"/>
      <c r="AM71" s="1034"/>
      <c r="AN71" s="1034"/>
      <c r="AO71" s="1034"/>
      <c r="CN71" s="753"/>
      <c r="CO71" s="753"/>
      <c r="CP71" s="753"/>
      <c r="CQ71" s="753"/>
      <c r="CR71" s="753"/>
      <c r="CS71" s="753"/>
      <c r="CT71" s="753"/>
      <c r="CU71" s="753"/>
      <c r="CV71" s="753"/>
      <c r="CW71" s="753"/>
      <c r="CX71" s="753"/>
      <c r="CY71" s="753"/>
      <c r="CZ71" s="753"/>
      <c r="DA71" s="753"/>
      <c r="DB71" s="753"/>
      <c r="DC71" s="753"/>
      <c r="DD71" s="753"/>
      <c r="DE71" s="753"/>
      <c r="DF71" s="753"/>
      <c r="DG71" s="753"/>
      <c r="DH71" s="753"/>
      <c r="DI71" s="753"/>
      <c r="DJ71" s="753"/>
      <c r="DK71" s="753"/>
      <c r="DL71" s="753"/>
      <c r="DM71" s="776"/>
      <c r="DR71" s="753"/>
      <c r="DS71" s="778"/>
      <c r="DT71" s="770"/>
      <c r="DW71" s="819"/>
    </row>
    <row r="72" spans="1:127" s="758" customFormat="1" ht="12.75" customHeight="1">
      <c r="A72" s="773"/>
      <c r="B72" s="773"/>
      <c r="C72" s="773"/>
      <c r="D72" s="773"/>
      <c r="E72" s="773"/>
      <c r="F72" s="773"/>
      <c r="G72" s="773"/>
      <c r="H72" s="773"/>
      <c r="I72" s="773"/>
      <c r="J72" s="1076"/>
      <c r="K72" s="1125"/>
      <c r="L72" s="1104"/>
      <c r="M72" s="1138"/>
      <c r="N72" s="1083"/>
      <c r="O72" s="1130"/>
      <c r="P72" s="1130"/>
      <c r="Q72" s="1039"/>
      <c r="R72" s="1039"/>
      <c r="S72" s="1039"/>
      <c r="T72" s="1134"/>
      <c r="U72" s="1110"/>
      <c r="V72" s="1135"/>
      <c r="W72" s="1135"/>
      <c r="X72" s="1088"/>
      <c r="Y72" s="1088"/>
      <c r="Z72" s="1088"/>
      <c r="AI72" s="1034"/>
      <c r="AJ72" s="1034"/>
      <c r="AK72" s="1034"/>
      <c r="AL72" s="1034"/>
      <c r="AM72" s="1034"/>
      <c r="AN72" s="1034"/>
      <c r="AO72" s="1034"/>
      <c r="CN72" s="753"/>
      <c r="CO72" s="753"/>
      <c r="CP72" s="753"/>
      <c r="CQ72" s="753"/>
      <c r="CR72" s="753"/>
      <c r="CS72" s="753"/>
      <c r="CT72" s="753"/>
      <c r="CU72" s="753"/>
      <c r="CV72" s="753"/>
      <c r="CW72" s="753"/>
      <c r="CX72" s="753"/>
      <c r="CY72" s="753"/>
      <c r="CZ72" s="753"/>
      <c r="DA72" s="753"/>
      <c r="DB72" s="753"/>
      <c r="DC72" s="753"/>
      <c r="DD72" s="753"/>
      <c r="DE72" s="753"/>
      <c r="DF72" s="753"/>
      <c r="DG72" s="753"/>
      <c r="DH72" s="753"/>
      <c r="DI72" s="753"/>
      <c r="DJ72" s="753"/>
      <c r="DK72" s="753"/>
      <c r="DL72" s="753"/>
      <c r="DM72" s="776"/>
      <c r="DR72" s="753"/>
      <c r="DS72" s="778"/>
      <c r="DT72" s="770"/>
      <c r="DW72" s="819"/>
    </row>
    <row r="73" spans="1:127" s="758" customFormat="1" ht="12.75" customHeight="1">
      <c r="A73" s="773"/>
      <c r="B73" s="773"/>
      <c r="C73" s="773"/>
      <c r="D73" s="773"/>
      <c r="E73" s="773"/>
      <c r="F73" s="773"/>
      <c r="G73" s="773"/>
      <c r="H73" s="773"/>
      <c r="I73" s="773"/>
      <c r="J73" s="1076"/>
      <c r="K73" s="1125"/>
      <c r="L73" s="1104"/>
      <c r="M73" s="1138"/>
      <c r="N73" s="1083"/>
      <c r="O73" s="1130"/>
      <c r="P73" s="1130"/>
      <c r="Q73" s="1039"/>
      <c r="R73" s="1039"/>
      <c r="S73" s="1039"/>
      <c r="T73" s="1134"/>
      <c r="U73" s="1110"/>
      <c r="V73" s="1135"/>
      <c r="W73" s="1135"/>
      <c r="X73" s="1088"/>
      <c r="Y73" s="1088"/>
      <c r="Z73" s="1088"/>
      <c r="AI73" s="1034"/>
      <c r="AJ73" s="1034"/>
      <c r="AK73" s="1034"/>
      <c r="AL73" s="1034"/>
      <c r="AM73" s="1034"/>
      <c r="AN73" s="1034"/>
      <c r="AO73" s="1034"/>
      <c r="CN73" s="753"/>
      <c r="CO73" s="753"/>
      <c r="CP73" s="753"/>
      <c r="CQ73" s="753"/>
      <c r="CR73" s="753"/>
      <c r="CS73" s="753"/>
      <c r="CT73" s="753"/>
      <c r="CU73" s="753"/>
      <c r="CV73" s="753"/>
      <c r="CW73" s="753"/>
      <c r="CX73" s="753"/>
      <c r="CY73" s="753"/>
      <c r="CZ73" s="753"/>
      <c r="DA73" s="753"/>
      <c r="DB73" s="753"/>
      <c r="DC73" s="753"/>
      <c r="DD73" s="753"/>
      <c r="DE73" s="753"/>
      <c r="DF73" s="753"/>
      <c r="DG73" s="753"/>
      <c r="DH73" s="753"/>
      <c r="DI73" s="753"/>
      <c r="DJ73" s="753"/>
      <c r="DK73" s="753"/>
      <c r="DL73" s="753"/>
      <c r="DM73" s="776"/>
      <c r="DR73" s="753"/>
      <c r="DS73" s="778"/>
      <c r="DT73" s="770"/>
      <c r="DW73" s="819"/>
    </row>
    <row r="74" spans="1:127" s="758" customFormat="1" ht="12.75" customHeight="1">
      <c r="A74" s="773"/>
      <c r="B74" s="773"/>
      <c r="C74" s="773"/>
      <c r="D74" s="773"/>
      <c r="E74" s="773"/>
      <c r="F74" s="773"/>
      <c r="G74" s="773"/>
      <c r="H74" s="773"/>
      <c r="I74" s="773"/>
      <c r="J74" s="1076"/>
      <c r="K74" s="1125"/>
      <c r="L74" s="1104"/>
      <c r="M74" s="1138"/>
      <c r="N74" s="1083"/>
      <c r="O74" s="1130"/>
      <c r="P74" s="1130"/>
      <c r="Q74" s="1039"/>
      <c r="R74" s="1039"/>
      <c r="S74" s="1039"/>
      <c r="T74" s="1134"/>
      <c r="U74" s="1110"/>
      <c r="V74" s="1135"/>
      <c r="W74" s="1135"/>
      <c r="X74" s="1088"/>
      <c r="Y74" s="1088"/>
      <c r="Z74" s="1088"/>
      <c r="AI74" s="1034"/>
      <c r="AJ74" s="1034"/>
      <c r="AK74" s="1034"/>
      <c r="AL74" s="1034"/>
      <c r="AM74" s="1034"/>
      <c r="AN74" s="1034"/>
      <c r="AO74" s="1034"/>
      <c r="CN74" s="753"/>
      <c r="CO74" s="753"/>
      <c r="CP74" s="753"/>
      <c r="CQ74" s="753"/>
      <c r="CR74" s="753"/>
      <c r="CS74" s="753"/>
      <c r="CT74" s="753"/>
      <c r="CU74" s="753"/>
      <c r="CV74" s="753"/>
      <c r="CW74" s="753"/>
      <c r="CX74" s="753"/>
      <c r="CY74" s="753"/>
      <c r="CZ74" s="753"/>
      <c r="DA74" s="753"/>
      <c r="DB74" s="753"/>
      <c r="DC74" s="753"/>
      <c r="DD74" s="753"/>
      <c r="DE74" s="753"/>
      <c r="DF74" s="753"/>
      <c r="DG74" s="753"/>
      <c r="DH74" s="753"/>
      <c r="DI74" s="753"/>
      <c r="DJ74" s="753"/>
      <c r="DK74" s="753"/>
      <c r="DL74" s="753"/>
      <c r="DM74" s="776"/>
      <c r="DR74" s="753"/>
      <c r="DS74" s="778"/>
      <c r="DT74" s="770"/>
      <c r="DW74" s="819"/>
    </row>
    <row r="75" spans="1:127" s="758" customFormat="1" ht="12.75" customHeight="1">
      <c r="A75" s="773"/>
      <c r="B75" s="773"/>
      <c r="C75" s="773"/>
      <c r="D75" s="773"/>
      <c r="E75" s="773"/>
      <c r="F75" s="773"/>
      <c r="G75" s="773"/>
      <c r="H75" s="773"/>
      <c r="I75" s="773"/>
      <c r="J75" s="1076"/>
      <c r="K75" s="1125"/>
      <c r="L75" s="1104"/>
      <c r="M75" s="1138"/>
      <c r="N75" s="1083"/>
      <c r="O75" s="1130"/>
      <c r="P75" s="1130"/>
      <c r="Q75" s="1039"/>
      <c r="R75" s="1039"/>
      <c r="S75" s="1039"/>
      <c r="T75" s="1134"/>
      <c r="U75" s="1110"/>
      <c r="V75" s="1135"/>
      <c r="W75" s="1135"/>
      <c r="X75" s="1088"/>
      <c r="Y75" s="1088"/>
      <c r="Z75" s="1088"/>
      <c r="AI75" s="1034"/>
      <c r="AJ75" s="1034"/>
      <c r="AK75" s="1034"/>
      <c r="AL75" s="1034"/>
      <c r="AM75" s="1034"/>
      <c r="AN75" s="1034"/>
      <c r="AO75" s="1034"/>
      <c r="CN75" s="753"/>
      <c r="CO75" s="753"/>
      <c r="CP75" s="753"/>
      <c r="CQ75" s="753"/>
      <c r="CR75" s="753"/>
      <c r="CS75" s="753"/>
      <c r="CT75" s="753"/>
      <c r="CU75" s="753"/>
      <c r="CV75" s="753"/>
      <c r="CW75" s="753"/>
      <c r="CX75" s="753"/>
      <c r="CY75" s="753"/>
      <c r="CZ75" s="753"/>
      <c r="DA75" s="753"/>
      <c r="DB75" s="753"/>
      <c r="DC75" s="753"/>
      <c r="DD75" s="753"/>
      <c r="DE75" s="753"/>
      <c r="DF75" s="753"/>
      <c r="DG75" s="753"/>
      <c r="DH75" s="753"/>
      <c r="DI75" s="753"/>
      <c r="DJ75" s="753"/>
      <c r="DK75" s="753"/>
      <c r="DL75" s="753"/>
      <c r="DM75" s="776"/>
      <c r="DR75" s="753"/>
      <c r="DS75" s="778"/>
      <c r="DT75" s="770"/>
      <c r="DW75" s="819"/>
    </row>
    <row r="76" spans="1:127" s="758" customFormat="1" ht="12.75" customHeight="1">
      <c r="A76" s="773"/>
      <c r="B76" s="773"/>
      <c r="C76" s="773"/>
      <c r="D76" s="773"/>
      <c r="E76" s="773"/>
      <c r="F76" s="773"/>
      <c r="G76" s="773"/>
      <c r="H76" s="773"/>
      <c r="I76" s="773"/>
      <c r="J76" s="1063"/>
      <c r="K76" s="1125"/>
      <c r="L76" s="1081"/>
      <c r="M76" s="1039"/>
      <c r="N76" s="1039"/>
      <c r="O76" s="1039"/>
      <c r="P76" s="1130"/>
      <c r="Q76" s="1039"/>
      <c r="R76" s="1039"/>
      <c r="S76" s="1039"/>
      <c r="T76" s="1134"/>
      <c r="U76" s="1110"/>
      <c r="V76" s="1135"/>
      <c r="W76" s="1135"/>
      <c r="X76" s="1088"/>
      <c r="Y76" s="1088"/>
      <c r="Z76" s="1088"/>
      <c r="AI76" s="1034"/>
      <c r="AJ76" s="1034"/>
      <c r="AK76" s="1034"/>
      <c r="AL76" s="1034"/>
      <c r="AM76" s="1034"/>
      <c r="AN76" s="1034"/>
      <c r="AO76" s="1034"/>
      <c r="CN76" s="753"/>
      <c r="CO76" s="753"/>
      <c r="CP76" s="753"/>
      <c r="CQ76" s="753"/>
      <c r="CR76" s="753"/>
      <c r="CS76" s="753"/>
      <c r="CT76" s="753"/>
      <c r="CU76" s="753"/>
      <c r="CV76" s="753"/>
      <c r="CW76" s="753"/>
      <c r="CX76" s="753"/>
      <c r="CY76" s="753"/>
      <c r="CZ76" s="753"/>
      <c r="DA76" s="753"/>
      <c r="DB76" s="753"/>
      <c r="DC76" s="753"/>
      <c r="DD76" s="753"/>
      <c r="DE76" s="753"/>
      <c r="DF76" s="753"/>
      <c r="DG76" s="753"/>
      <c r="DH76" s="753"/>
      <c r="DI76" s="753"/>
      <c r="DJ76" s="753"/>
      <c r="DK76" s="753"/>
      <c r="DL76" s="753"/>
      <c r="DM76" s="776"/>
      <c r="DR76" s="753"/>
      <c r="DS76" s="778"/>
      <c r="DT76" s="770"/>
      <c r="DW76" s="819"/>
    </row>
    <row r="77" spans="1:127" s="758" customFormat="1" ht="12.75" customHeight="1">
      <c r="A77" s="773"/>
      <c r="B77" s="1044"/>
      <c r="C77" s="1044"/>
      <c r="D77" s="1044"/>
      <c r="E77" s="1044"/>
      <c r="F77" s="1044"/>
      <c r="G77" s="1044"/>
      <c r="H77" s="1044"/>
      <c r="I77" s="773"/>
      <c r="J77" s="1063"/>
      <c r="K77" s="1125"/>
      <c r="L77" s="1081"/>
      <c r="M77" s="1039"/>
      <c r="N77" s="1039"/>
      <c r="O77" s="1039"/>
      <c r="P77" s="1130"/>
      <c r="Q77" s="1039"/>
      <c r="R77" s="1039"/>
      <c r="S77" s="1039"/>
      <c r="T77" s="1110"/>
      <c r="U77" s="1429"/>
      <c r="V77" s="1135"/>
      <c r="W77" s="1135"/>
      <c r="X77" s="1088"/>
      <c r="Y77" s="1088"/>
      <c r="Z77" s="1088"/>
      <c r="AI77" s="1034"/>
      <c r="AJ77" s="1034"/>
      <c r="AK77" s="1034"/>
      <c r="AL77" s="1034"/>
      <c r="AM77" s="1034"/>
      <c r="AN77" s="1034"/>
      <c r="AO77" s="1034"/>
      <c r="CN77" s="753"/>
      <c r="CO77" s="753"/>
      <c r="CP77" s="753"/>
      <c r="CQ77" s="753"/>
      <c r="CR77" s="753"/>
      <c r="CS77" s="753"/>
      <c r="CT77" s="753"/>
      <c r="CU77" s="753"/>
      <c r="CV77" s="753"/>
      <c r="CW77" s="753"/>
      <c r="CX77" s="753"/>
      <c r="CY77" s="753"/>
      <c r="CZ77" s="753"/>
      <c r="DA77" s="753"/>
      <c r="DB77" s="753"/>
      <c r="DC77" s="753"/>
      <c r="DD77" s="753"/>
      <c r="DE77" s="753"/>
      <c r="DF77" s="753"/>
      <c r="DG77" s="753"/>
      <c r="DH77" s="753"/>
      <c r="DI77" s="753"/>
      <c r="DJ77" s="753"/>
      <c r="DK77" s="753"/>
      <c r="DL77" s="753"/>
      <c r="DM77" s="776"/>
      <c r="DR77" s="753"/>
      <c r="DS77" s="778"/>
      <c r="DT77" s="770"/>
      <c r="DW77" s="819"/>
    </row>
    <row r="78" spans="1:127" s="758" customFormat="1" ht="12.75" customHeight="1">
      <c r="A78" s="773"/>
      <c r="B78" s="1042"/>
      <c r="C78" s="1050"/>
      <c r="D78" s="841"/>
      <c r="E78" s="841"/>
      <c r="F78" s="1050"/>
      <c r="G78" s="1050"/>
      <c r="H78" s="1044"/>
      <c r="I78" s="773"/>
      <c r="J78" s="1063"/>
      <c r="K78" s="1125"/>
      <c r="L78" s="1081"/>
      <c r="M78" s="1039"/>
      <c r="N78" s="1039"/>
      <c r="O78" s="1039"/>
      <c r="P78" s="1130"/>
      <c r="Q78" s="1039"/>
      <c r="R78" s="1039"/>
      <c r="S78" s="1039"/>
      <c r="T78" s="1110"/>
      <c r="U78" s="1426"/>
      <c r="V78" s="1135"/>
      <c r="W78" s="1135"/>
      <c r="X78" s="1088"/>
      <c r="Y78" s="1088"/>
      <c r="Z78" s="1088"/>
      <c r="AI78" s="1034"/>
      <c r="AJ78" s="1034"/>
      <c r="AK78" s="1034"/>
      <c r="AL78" s="1034"/>
      <c r="AM78" s="1034"/>
      <c r="AN78" s="1034"/>
      <c r="AO78" s="1034"/>
      <c r="CN78" s="753"/>
      <c r="CO78" s="753"/>
      <c r="CP78" s="753"/>
      <c r="CQ78" s="753"/>
      <c r="CR78" s="753"/>
      <c r="CS78" s="753"/>
      <c r="CT78" s="753"/>
      <c r="CU78" s="753"/>
      <c r="CV78" s="753"/>
      <c r="CW78" s="753"/>
      <c r="CX78" s="753"/>
      <c r="CY78" s="753"/>
      <c r="CZ78" s="753"/>
      <c r="DA78" s="753"/>
      <c r="DB78" s="753"/>
      <c r="DC78" s="753"/>
      <c r="DD78" s="753"/>
      <c r="DE78" s="753"/>
      <c r="DF78" s="753"/>
      <c r="DG78" s="753"/>
      <c r="DH78" s="753"/>
      <c r="DI78" s="753"/>
      <c r="DJ78" s="753"/>
      <c r="DK78" s="753"/>
      <c r="DL78" s="753"/>
      <c r="DM78" s="776"/>
      <c r="DR78" s="753"/>
      <c r="DS78" s="778"/>
      <c r="DT78" s="770"/>
      <c r="DW78" s="819"/>
    </row>
    <row r="79" spans="1:127" s="758" customFormat="1" ht="12.75" customHeight="1">
      <c r="A79" s="773"/>
      <c r="B79" s="1045"/>
      <c r="C79" s="1051"/>
      <c r="D79" s="1052"/>
      <c r="E79" s="1053"/>
      <c r="F79" s="1052"/>
      <c r="G79" s="1052"/>
      <c r="H79" s="1052"/>
      <c r="I79" s="773"/>
      <c r="J79" s="1063"/>
      <c r="K79" s="1125"/>
      <c r="L79" s="1081"/>
      <c r="M79" s="1039"/>
      <c r="N79" s="1039"/>
      <c r="O79" s="1039"/>
      <c r="P79" s="1130"/>
      <c r="Q79" s="1039"/>
      <c r="R79" s="1039"/>
      <c r="S79" s="1039"/>
      <c r="T79" s="1110"/>
      <c r="U79" s="1429"/>
      <c r="V79" s="1135"/>
      <c r="W79" s="1135"/>
      <c r="X79" s="1088"/>
      <c r="Y79" s="1088"/>
      <c r="Z79" s="1088"/>
      <c r="AI79" s="1034"/>
      <c r="AJ79" s="1034"/>
      <c r="AK79" s="1034"/>
      <c r="AL79" s="1034"/>
      <c r="AM79" s="1034"/>
      <c r="AN79" s="1034"/>
      <c r="AO79" s="1034"/>
      <c r="CN79" s="753"/>
      <c r="CO79" s="753"/>
      <c r="CP79" s="753"/>
      <c r="CQ79" s="753"/>
      <c r="CR79" s="753"/>
      <c r="CS79" s="753"/>
      <c r="CT79" s="753"/>
      <c r="CU79" s="753"/>
      <c r="CV79" s="753"/>
      <c r="CW79" s="753"/>
      <c r="CX79" s="753"/>
      <c r="CY79" s="753"/>
      <c r="CZ79" s="753"/>
      <c r="DA79" s="753"/>
      <c r="DB79" s="753"/>
      <c r="DC79" s="753"/>
      <c r="DD79" s="753"/>
      <c r="DE79" s="753"/>
      <c r="DF79" s="753"/>
      <c r="DG79" s="753"/>
      <c r="DH79" s="753"/>
      <c r="DI79" s="753"/>
      <c r="DJ79" s="753"/>
      <c r="DK79" s="753"/>
      <c r="DL79" s="753"/>
      <c r="DM79" s="776"/>
      <c r="DR79" s="753"/>
      <c r="DS79" s="778"/>
      <c r="DT79" s="770"/>
      <c r="DW79" s="819"/>
    </row>
    <row r="80" spans="1:127" s="758" customFormat="1" ht="12.75" customHeight="1">
      <c r="A80" s="773"/>
      <c r="B80" s="1045"/>
      <c r="C80" s="1051"/>
      <c r="D80" s="1052"/>
      <c r="E80" s="1053"/>
      <c r="F80" s="1052"/>
      <c r="G80" s="1052"/>
      <c r="H80" s="1052"/>
      <c r="I80" s="773"/>
      <c r="J80" s="1063"/>
      <c r="K80" s="1125"/>
      <c r="L80" s="1081"/>
      <c r="M80" s="1039"/>
      <c r="N80" s="1039"/>
      <c r="O80" s="1039"/>
      <c r="P80" s="1130"/>
      <c r="Q80" s="1039"/>
      <c r="R80" s="1039"/>
      <c r="S80" s="1039"/>
      <c r="T80" s="1110"/>
      <c r="U80" s="1426"/>
      <c r="V80" s="1135"/>
      <c r="W80" s="1135"/>
      <c r="X80" s="1088"/>
      <c r="Y80" s="1088"/>
      <c r="Z80" s="1088"/>
      <c r="AI80" s="1034"/>
      <c r="AJ80" s="1034"/>
      <c r="AK80" s="1034"/>
      <c r="AL80" s="1034"/>
      <c r="AM80" s="1034"/>
      <c r="AN80" s="1034"/>
      <c r="AO80" s="1034"/>
      <c r="CN80" s="753"/>
      <c r="CO80" s="753"/>
      <c r="CP80" s="753"/>
      <c r="CQ80" s="753"/>
      <c r="CR80" s="753"/>
      <c r="CS80" s="753"/>
      <c r="CT80" s="753"/>
      <c r="CU80" s="753"/>
      <c r="CV80" s="753"/>
      <c r="CW80" s="753"/>
      <c r="CX80" s="753"/>
      <c r="CY80" s="753"/>
      <c r="CZ80" s="753"/>
      <c r="DA80" s="753"/>
      <c r="DB80" s="753"/>
      <c r="DC80" s="753"/>
      <c r="DD80" s="753"/>
      <c r="DE80" s="753"/>
      <c r="DF80" s="753"/>
      <c r="DG80" s="753"/>
      <c r="DH80" s="753"/>
      <c r="DI80" s="753"/>
      <c r="DJ80" s="753"/>
      <c r="DK80" s="753"/>
      <c r="DL80" s="753"/>
      <c r="DM80" s="776"/>
      <c r="DR80" s="753"/>
      <c r="DS80" s="778"/>
      <c r="DT80" s="770"/>
      <c r="DW80" s="819"/>
    </row>
    <row r="81" spans="1:127" s="758" customFormat="1" ht="12.75" customHeight="1">
      <c r="A81" s="773"/>
      <c r="B81" s="1045"/>
      <c r="C81" s="1051"/>
      <c r="D81" s="1052"/>
      <c r="E81" s="1053"/>
      <c r="F81" s="1052"/>
      <c r="G81" s="1052"/>
      <c r="H81" s="1052"/>
      <c r="I81" s="773"/>
      <c r="J81" s="1063"/>
      <c r="K81" s="1125"/>
      <c r="L81" s="1081"/>
      <c r="M81" s="1039"/>
      <c r="N81" s="1039"/>
      <c r="O81" s="1039"/>
      <c r="P81" s="1130"/>
      <c r="Q81" s="1039"/>
      <c r="R81" s="1039"/>
      <c r="S81" s="1039"/>
      <c r="T81" s="1134"/>
      <c r="U81" s="1110"/>
      <c r="V81" s="1135"/>
      <c r="W81" s="1135"/>
      <c r="X81" s="1110"/>
      <c r="Y81" s="1110"/>
      <c r="Z81" s="1110"/>
      <c r="AI81" s="1034"/>
      <c r="AJ81" s="1034"/>
      <c r="AK81" s="1034"/>
      <c r="AL81" s="1034"/>
      <c r="AM81" s="1034"/>
      <c r="AN81" s="1034"/>
      <c r="AO81" s="1034"/>
      <c r="CN81" s="753"/>
      <c r="CO81" s="753"/>
      <c r="CP81" s="753"/>
      <c r="CQ81" s="753"/>
      <c r="CR81" s="753"/>
      <c r="CS81" s="753"/>
      <c r="CT81" s="753"/>
      <c r="CU81" s="753"/>
      <c r="CV81" s="753"/>
      <c r="CW81" s="753"/>
      <c r="CX81" s="753"/>
      <c r="CY81" s="753"/>
      <c r="CZ81" s="753"/>
      <c r="DA81" s="753"/>
      <c r="DB81" s="753"/>
      <c r="DC81" s="753"/>
      <c r="DD81" s="753"/>
      <c r="DE81" s="753"/>
      <c r="DF81" s="753"/>
      <c r="DG81" s="753"/>
      <c r="DH81" s="753"/>
      <c r="DI81" s="753"/>
      <c r="DJ81" s="753"/>
      <c r="DK81" s="753"/>
      <c r="DL81" s="753"/>
      <c r="DM81" s="776"/>
      <c r="DR81" s="753"/>
      <c r="DS81" s="778"/>
      <c r="DT81" s="770"/>
      <c r="DW81" s="819"/>
    </row>
    <row r="82" spans="1:127" s="758" customFormat="1" ht="12.75" customHeight="1">
      <c r="A82" s="773"/>
      <c r="B82" s="1045"/>
      <c r="C82" s="1051"/>
      <c r="D82" s="772"/>
      <c r="E82" s="1053"/>
      <c r="F82" s="1052"/>
      <c r="G82" s="1052"/>
      <c r="H82" s="1052"/>
      <c r="I82" s="773"/>
      <c r="J82" s="1063"/>
      <c r="K82" s="1125"/>
      <c r="L82" s="1081"/>
      <c r="M82" s="1039"/>
      <c r="N82" s="1039"/>
      <c r="O82" s="1039"/>
      <c r="P82" s="1130"/>
      <c r="Q82" s="1039"/>
      <c r="R82" s="1039"/>
      <c r="S82" s="1039"/>
      <c r="T82" s="1134"/>
      <c r="U82" s="1110"/>
      <c r="V82" s="1135"/>
      <c r="W82" s="1135"/>
      <c r="X82" s="1088"/>
      <c r="Y82" s="1088"/>
      <c r="Z82" s="1088"/>
      <c r="AI82" s="1034"/>
      <c r="AJ82" s="1034"/>
      <c r="AK82" s="1034"/>
      <c r="AL82" s="1034"/>
      <c r="AM82" s="1034"/>
      <c r="AN82" s="1034"/>
      <c r="AO82" s="1034"/>
      <c r="CN82" s="753"/>
      <c r="CO82" s="753"/>
      <c r="CP82" s="753"/>
      <c r="CQ82" s="753"/>
      <c r="CR82" s="753"/>
      <c r="CS82" s="753"/>
      <c r="CT82" s="753"/>
      <c r="CU82" s="753"/>
      <c r="CV82" s="753"/>
      <c r="CW82" s="753"/>
      <c r="CX82" s="753"/>
      <c r="CY82" s="753"/>
      <c r="CZ82" s="753"/>
      <c r="DA82" s="753"/>
      <c r="DB82" s="753"/>
      <c r="DC82" s="753"/>
      <c r="DD82" s="753"/>
      <c r="DE82" s="753"/>
      <c r="DF82" s="753"/>
      <c r="DG82" s="753"/>
      <c r="DH82" s="753"/>
      <c r="DI82" s="753"/>
      <c r="DJ82" s="753"/>
      <c r="DK82" s="753"/>
      <c r="DL82" s="753"/>
      <c r="DM82" s="776"/>
      <c r="DR82" s="753"/>
      <c r="DS82" s="778"/>
      <c r="DT82" s="770"/>
      <c r="DW82" s="819"/>
    </row>
    <row r="83" spans="1:127" s="758" customFormat="1" ht="12.75" customHeight="1">
      <c r="A83" s="773"/>
      <c r="B83" s="1045"/>
      <c r="C83" s="1051"/>
      <c r="D83" s="772"/>
      <c r="E83" s="1053"/>
      <c r="F83" s="1052"/>
      <c r="G83" s="1052"/>
      <c r="H83" s="1052"/>
      <c r="I83" s="773"/>
      <c r="J83" s="1063"/>
      <c r="K83" s="1125"/>
      <c r="L83" s="1081"/>
      <c r="M83" s="1039"/>
      <c r="N83" s="1039"/>
      <c r="O83" s="1039"/>
      <c r="P83" s="1130"/>
      <c r="Q83" s="1039"/>
      <c r="R83" s="1039"/>
      <c r="S83" s="1039"/>
      <c r="T83" s="1136"/>
      <c r="U83" s="1110"/>
      <c r="V83" s="1110"/>
      <c r="W83" s="1110"/>
      <c r="X83" s="1088"/>
      <c r="Y83" s="1088"/>
      <c r="Z83" s="1088"/>
      <c r="AI83" s="1034"/>
      <c r="AJ83" s="1034"/>
      <c r="AK83" s="1034"/>
      <c r="AL83" s="1034"/>
      <c r="AM83" s="1034"/>
      <c r="AN83" s="1034"/>
      <c r="AO83" s="1034"/>
      <c r="CN83" s="753"/>
      <c r="CO83" s="753"/>
      <c r="CP83" s="753"/>
      <c r="CQ83" s="753"/>
      <c r="CR83" s="753"/>
      <c r="CS83" s="753"/>
      <c r="CT83" s="753"/>
      <c r="CU83" s="753"/>
      <c r="CV83" s="753"/>
      <c r="CW83" s="753"/>
      <c r="CX83" s="753"/>
      <c r="CY83" s="753"/>
      <c r="CZ83" s="753"/>
      <c r="DA83" s="753"/>
      <c r="DB83" s="753"/>
      <c r="DC83" s="753"/>
      <c r="DD83" s="753"/>
      <c r="DE83" s="753"/>
      <c r="DF83" s="753"/>
      <c r="DG83" s="753"/>
      <c r="DH83" s="753"/>
      <c r="DI83" s="753"/>
      <c r="DJ83" s="753"/>
      <c r="DK83" s="753"/>
      <c r="DL83" s="753"/>
      <c r="DM83" s="776"/>
      <c r="DR83" s="753"/>
      <c r="DS83" s="778"/>
      <c r="DT83" s="770"/>
      <c r="DW83" s="819"/>
    </row>
    <row r="84" spans="1:127" s="758" customFormat="1" ht="12.75" customHeight="1">
      <c r="A84" s="773"/>
      <c r="B84" s="1045"/>
      <c r="C84" s="1051"/>
      <c r="D84" s="772"/>
      <c r="E84" s="1053"/>
      <c r="F84" s="1052"/>
      <c r="G84" s="1052"/>
      <c r="H84" s="1052"/>
      <c r="I84" s="773"/>
      <c r="J84" s="1063"/>
      <c r="K84" s="1125"/>
      <c r="L84" s="1081"/>
      <c r="M84" s="1039"/>
      <c r="N84" s="1039"/>
      <c r="O84" s="1039"/>
      <c r="P84" s="1130"/>
      <c r="Q84" s="1039"/>
      <c r="R84" s="1039"/>
      <c r="S84" s="1039"/>
      <c r="T84" s="1134"/>
      <c r="U84" s="1110"/>
      <c r="V84" s="1135"/>
      <c r="W84" s="1135"/>
      <c r="X84" s="1088"/>
      <c r="Y84" s="1088"/>
      <c r="Z84" s="1088"/>
      <c r="AI84" s="1034"/>
      <c r="AJ84" s="1034"/>
      <c r="AK84" s="1034"/>
      <c r="AL84" s="1034"/>
      <c r="AM84" s="1034"/>
      <c r="AN84" s="1034"/>
      <c r="AO84" s="1034"/>
      <c r="CN84" s="753"/>
      <c r="CO84" s="753"/>
      <c r="CP84" s="753"/>
      <c r="CQ84" s="753"/>
      <c r="CR84" s="753"/>
      <c r="CS84" s="753"/>
      <c r="CT84" s="753"/>
      <c r="CU84" s="753"/>
      <c r="CV84" s="753"/>
      <c r="CW84" s="753"/>
      <c r="CX84" s="753"/>
      <c r="CY84" s="753"/>
      <c r="CZ84" s="753"/>
      <c r="DA84" s="753"/>
      <c r="DB84" s="753"/>
      <c r="DC84" s="753"/>
      <c r="DD84" s="753"/>
      <c r="DE84" s="753"/>
      <c r="DF84" s="753"/>
      <c r="DG84" s="753"/>
      <c r="DH84" s="753"/>
      <c r="DI84" s="753"/>
      <c r="DJ84" s="753"/>
      <c r="DK84" s="753"/>
      <c r="DL84" s="753"/>
      <c r="DM84" s="776"/>
      <c r="DR84" s="753"/>
      <c r="DS84" s="778"/>
      <c r="DT84" s="770"/>
      <c r="DW84" s="819"/>
    </row>
    <row r="85" spans="1:127" s="758" customFormat="1" ht="12.75" customHeight="1">
      <c r="A85" s="773"/>
      <c r="B85" s="1045"/>
      <c r="C85" s="1051"/>
      <c r="D85" s="772"/>
      <c r="E85" s="1053"/>
      <c r="F85" s="1052"/>
      <c r="G85" s="1052"/>
      <c r="H85" s="1052"/>
      <c r="I85" s="773"/>
      <c r="J85" s="1139"/>
      <c r="K85" s="1125"/>
      <c r="L85" s="1139"/>
      <c r="M85" s="1139"/>
      <c r="N85" s="1039"/>
      <c r="O85" s="1039"/>
      <c r="P85" s="1130"/>
      <c r="Q85" s="1039"/>
      <c r="R85" s="1039"/>
      <c r="S85" s="1039"/>
      <c r="T85" s="1134"/>
      <c r="U85" s="1110"/>
      <c r="V85" s="1135"/>
      <c r="W85" s="1135"/>
      <c r="X85" s="1088"/>
      <c r="Y85" s="1088"/>
      <c r="Z85" s="1088"/>
      <c r="AI85" s="1034"/>
      <c r="AJ85" s="1034"/>
      <c r="AK85" s="1034"/>
      <c r="AL85" s="1034"/>
      <c r="AM85" s="1034"/>
      <c r="AN85" s="1034"/>
      <c r="AO85" s="1034"/>
      <c r="CN85" s="753"/>
      <c r="CO85" s="753"/>
      <c r="CP85" s="753"/>
      <c r="CQ85" s="753"/>
      <c r="CR85" s="753"/>
      <c r="CS85" s="753"/>
      <c r="CT85" s="753"/>
      <c r="CU85" s="753"/>
      <c r="CV85" s="753"/>
      <c r="CW85" s="753"/>
      <c r="CX85" s="753"/>
      <c r="CY85" s="753"/>
      <c r="CZ85" s="753"/>
      <c r="DA85" s="753"/>
      <c r="DB85" s="753"/>
      <c r="DC85" s="753"/>
      <c r="DD85" s="753"/>
      <c r="DE85" s="753"/>
      <c r="DF85" s="753"/>
      <c r="DG85" s="753"/>
      <c r="DH85" s="753"/>
      <c r="DI85" s="753"/>
      <c r="DJ85" s="753"/>
      <c r="DK85" s="753"/>
      <c r="DL85" s="753"/>
      <c r="DM85" s="776"/>
      <c r="DR85" s="753"/>
      <c r="DS85" s="778"/>
      <c r="DT85" s="770"/>
      <c r="DW85" s="819"/>
    </row>
    <row r="86" spans="1:127" s="758" customFormat="1" ht="12.75" customHeight="1">
      <c r="A86" s="773"/>
      <c r="B86" s="1045"/>
      <c r="C86" s="1051"/>
      <c r="D86" s="772"/>
      <c r="E86" s="1053"/>
      <c r="F86" s="1052"/>
      <c r="G86" s="1052"/>
      <c r="H86" s="1052"/>
      <c r="I86" s="773"/>
      <c r="J86" s="1139"/>
      <c r="K86" s="1125"/>
      <c r="L86" s="1139"/>
      <c r="M86" s="1139"/>
      <c r="N86" s="1039"/>
      <c r="O86" s="1039"/>
      <c r="P86" s="1130"/>
      <c r="Q86" s="1039"/>
      <c r="R86" s="1039"/>
      <c r="S86" s="1039"/>
      <c r="T86" s="1134"/>
      <c r="U86" s="1110"/>
      <c r="V86" s="1135"/>
      <c r="W86" s="1135"/>
      <c r="X86" s="1088"/>
      <c r="Y86" s="1088"/>
      <c r="Z86" s="1088"/>
      <c r="AI86" s="1034"/>
      <c r="AJ86" s="1034"/>
      <c r="AK86" s="1034"/>
      <c r="AL86" s="1034"/>
      <c r="AM86" s="1034"/>
      <c r="AN86" s="1034"/>
      <c r="AO86" s="1034"/>
      <c r="CN86" s="753"/>
      <c r="CO86" s="753"/>
      <c r="CP86" s="753"/>
      <c r="CQ86" s="753"/>
      <c r="CR86" s="753"/>
      <c r="CS86" s="753"/>
      <c r="CT86" s="753"/>
      <c r="CU86" s="753"/>
      <c r="CV86" s="753"/>
      <c r="CW86" s="753"/>
      <c r="CX86" s="753"/>
      <c r="CY86" s="753"/>
      <c r="CZ86" s="753"/>
      <c r="DA86" s="753"/>
      <c r="DB86" s="753"/>
      <c r="DC86" s="753"/>
      <c r="DD86" s="753"/>
      <c r="DE86" s="753"/>
      <c r="DF86" s="753"/>
      <c r="DG86" s="753"/>
      <c r="DH86" s="753"/>
      <c r="DI86" s="753"/>
      <c r="DJ86" s="753"/>
      <c r="DK86" s="753"/>
      <c r="DL86" s="753"/>
      <c r="DM86" s="776"/>
      <c r="DR86" s="753"/>
      <c r="DS86" s="778"/>
      <c r="DT86" s="770"/>
      <c r="DW86" s="819"/>
    </row>
    <row r="87" spans="1:127" s="758" customFormat="1" ht="12.75" customHeight="1">
      <c r="A87" s="773"/>
      <c r="B87" s="1045"/>
      <c r="C87" s="1051"/>
      <c r="D87" s="772"/>
      <c r="E87" s="1053"/>
      <c r="F87" s="1052"/>
      <c r="G87" s="1052"/>
      <c r="H87" s="1052"/>
      <c r="I87" s="773"/>
      <c r="J87" s="1140"/>
      <c r="K87" s="1125"/>
      <c r="L87" s="1141"/>
      <c r="M87" s="1142"/>
      <c r="N87" s="1039"/>
      <c r="O87" s="1039"/>
      <c r="P87" s="1130"/>
      <c r="Q87" s="1039"/>
      <c r="R87" s="1039"/>
      <c r="S87" s="1039"/>
      <c r="T87" s="1134"/>
      <c r="U87" s="1110"/>
      <c r="V87" s="1135"/>
      <c r="W87" s="1135"/>
      <c r="X87" s="1088"/>
      <c r="Y87" s="1088"/>
      <c r="Z87" s="1088"/>
      <c r="AI87" s="1034"/>
      <c r="AJ87" s="1034"/>
      <c r="AK87" s="1034"/>
      <c r="AL87" s="1034"/>
      <c r="AM87" s="1034"/>
      <c r="AN87" s="1034"/>
      <c r="AO87" s="1034"/>
      <c r="CN87" s="753"/>
      <c r="CO87" s="753"/>
      <c r="CP87" s="753"/>
      <c r="CQ87" s="753"/>
      <c r="CR87" s="753"/>
      <c r="CS87" s="753"/>
      <c r="CT87" s="753"/>
      <c r="CU87" s="753"/>
      <c r="CV87" s="753"/>
      <c r="CW87" s="753"/>
      <c r="CX87" s="753"/>
      <c r="CY87" s="753"/>
      <c r="CZ87" s="753"/>
      <c r="DA87" s="753"/>
      <c r="DB87" s="753"/>
      <c r="DC87" s="753"/>
      <c r="DD87" s="753"/>
      <c r="DE87" s="753"/>
      <c r="DF87" s="753"/>
      <c r="DG87" s="753"/>
      <c r="DH87" s="753"/>
      <c r="DI87" s="753"/>
      <c r="DJ87" s="753"/>
      <c r="DK87" s="753"/>
      <c r="DL87" s="753"/>
      <c r="DM87" s="776"/>
      <c r="DR87" s="753"/>
      <c r="DS87" s="778"/>
      <c r="DT87" s="770"/>
      <c r="DW87" s="819"/>
    </row>
    <row r="88" spans="1:127" s="758" customFormat="1" ht="12.75" customHeight="1">
      <c r="A88" s="773"/>
      <c r="B88" s="1045"/>
      <c r="C88" s="1051"/>
      <c r="D88" s="772"/>
      <c r="E88" s="1053"/>
      <c r="F88" s="1052"/>
      <c r="G88" s="1052"/>
      <c r="H88" s="1052"/>
      <c r="I88" s="773"/>
      <c r="J88" s="1141"/>
      <c r="K88" s="1125"/>
      <c r="L88" s="1141"/>
      <c r="M88" s="1139"/>
      <c r="N88" s="1063"/>
      <c r="O88" s="1063"/>
      <c r="P88" s="1130"/>
      <c r="Q88" s="1039"/>
      <c r="R88" s="1039"/>
      <c r="S88" s="1039"/>
      <c r="T88" s="1134"/>
      <c r="U88" s="1110"/>
      <c r="V88" s="1135"/>
      <c r="W88" s="1135"/>
      <c r="X88" s="1088"/>
      <c r="Y88" s="1088"/>
      <c r="Z88" s="1088"/>
      <c r="AI88" s="1034"/>
      <c r="AJ88" s="1034"/>
      <c r="AK88" s="1034"/>
      <c r="AL88" s="1034"/>
      <c r="AM88" s="1034"/>
      <c r="AN88" s="1034"/>
      <c r="AO88" s="1034"/>
      <c r="CN88" s="753"/>
      <c r="CO88" s="753"/>
      <c r="CP88" s="753"/>
      <c r="CQ88" s="753"/>
      <c r="CR88" s="753"/>
      <c r="CS88" s="753"/>
      <c r="CT88" s="753"/>
      <c r="CU88" s="753"/>
      <c r="CV88" s="753"/>
      <c r="CW88" s="753"/>
      <c r="CX88" s="753"/>
      <c r="CY88" s="753"/>
      <c r="CZ88" s="753"/>
      <c r="DA88" s="753"/>
      <c r="DB88" s="753"/>
      <c r="DC88" s="753"/>
      <c r="DD88" s="753"/>
      <c r="DE88" s="753"/>
      <c r="DF88" s="753"/>
      <c r="DG88" s="753"/>
      <c r="DH88" s="753"/>
      <c r="DI88" s="753"/>
      <c r="DJ88" s="753"/>
      <c r="DK88" s="753"/>
      <c r="DL88" s="753"/>
      <c r="DM88" s="776"/>
      <c r="DR88" s="753"/>
      <c r="DS88" s="778"/>
      <c r="DT88" s="770"/>
      <c r="DW88" s="819"/>
    </row>
    <row r="89" spans="1:127" s="758" customFormat="1" ht="12.75" customHeight="1">
      <c r="A89" s="773"/>
      <c r="B89" s="1046"/>
      <c r="C89" s="1051"/>
      <c r="D89" s="1044"/>
      <c r="E89" s="1053"/>
      <c r="F89" s="1054"/>
      <c r="G89" s="1052"/>
      <c r="H89" s="1044"/>
      <c r="I89" s="773"/>
      <c r="J89" s="1141"/>
      <c r="K89" s="1039"/>
      <c r="L89" s="1141"/>
      <c r="M89" s="1139"/>
      <c r="N89" s="1087"/>
      <c r="O89" s="1127"/>
      <c r="P89" s="1130"/>
      <c r="Q89" s="1039"/>
      <c r="R89" s="1039"/>
      <c r="S89" s="1039"/>
      <c r="T89" s="1134"/>
      <c r="U89" s="1110"/>
      <c r="V89" s="1135"/>
      <c r="W89" s="1135"/>
      <c r="X89" s="1088"/>
      <c r="Y89" s="1088"/>
      <c r="Z89" s="1088"/>
      <c r="AI89" s="1034"/>
      <c r="AJ89" s="1034"/>
      <c r="AK89" s="1034"/>
      <c r="AL89" s="1034"/>
      <c r="AM89" s="1034"/>
      <c r="AN89" s="1034"/>
      <c r="AO89" s="1034"/>
      <c r="CN89" s="753"/>
      <c r="CO89" s="753"/>
      <c r="CP89" s="753"/>
      <c r="CQ89" s="753"/>
      <c r="CR89" s="753"/>
      <c r="CS89" s="753"/>
      <c r="CT89" s="753"/>
      <c r="CU89" s="753"/>
      <c r="CV89" s="753"/>
      <c r="CW89" s="753"/>
      <c r="CX89" s="753"/>
      <c r="CY89" s="753"/>
      <c r="CZ89" s="753"/>
      <c r="DA89" s="753"/>
      <c r="DB89" s="753"/>
      <c r="DC89" s="753"/>
      <c r="DD89" s="753"/>
      <c r="DE89" s="753"/>
      <c r="DF89" s="753"/>
      <c r="DG89" s="753"/>
      <c r="DH89" s="753"/>
      <c r="DI89" s="753"/>
      <c r="DJ89" s="753"/>
      <c r="DK89" s="753"/>
      <c r="DL89" s="753"/>
      <c r="DM89" s="776"/>
      <c r="DR89" s="753"/>
      <c r="DS89" s="778"/>
      <c r="DT89" s="753"/>
      <c r="DW89" s="819"/>
    </row>
    <row r="90" spans="1:127" s="758" customFormat="1" ht="12.75" customHeight="1">
      <c r="A90" s="773"/>
      <c r="B90" s="773"/>
      <c r="C90" s="773"/>
      <c r="D90" s="773"/>
      <c r="E90" s="773"/>
      <c r="F90" s="773"/>
      <c r="G90" s="773"/>
      <c r="H90" s="773"/>
      <c r="I90" s="773"/>
      <c r="J90" s="1141"/>
      <c r="K90" s="1039"/>
      <c r="L90" s="1141"/>
      <c r="M90" s="1139"/>
      <c r="N90" s="1087"/>
      <c r="O90" s="1127"/>
      <c r="P90" s="1130"/>
      <c r="Q90" s="1039"/>
      <c r="R90" s="1039"/>
      <c r="S90" s="1039"/>
      <c r="T90" s="1134"/>
      <c r="U90" s="1110"/>
      <c r="V90" s="1135"/>
      <c r="W90" s="1135"/>
      <c r="X90" s="1088"/>
      <c r="Y90" s="1088"/>
      <c r="Z90" s="1088"/>
      <c r="AI90" s="1034"/>
      <c r="AJ90" s="1034"/>
      <c r="AK90" s="1034"/>
      <c r="AL90" s="1034"/>
      <c r="AM90" s="1034"/>
      <c r="AN90" s="1034"/>
      <c r="AO90" s="1034"/>
      <c r="CN90" s="753"/>
      <c r="CO90" s="753"/>
      <c r="CP90" s="753"/>
      <c r="CQ90" s="753"/>
      <c r="CR90" s="753"/>
      <c r="CS90" s="753"/>
      <c r="CT90" s="753"/>
      <c r="CU90" s="753"/>
      <c r="CV90" s="753"/>
      <c r="CW90" s="753"/>
      <c r="CX90" s="753"/>
      <c r="CY90" s="753"/>
      <c r="CZ90" s="753"/>
      <c r="DA90" s="753"/>
      <c r="DB90" s="753"/>
      <c r="DC90" s="753"/>
      <c r="DD90" s="753"/>
      <c r="DE90" s="753"/>
      <c r="DF90" s="753"/>
      <c r="DG90" s="753"/>
      <c r="DH90" s="753"/>
      <c r="DI90" s="753"/>
      <c r="DJ90" s="753"/>
      <c r="DK90" s="753"/>
      <c r="DL90" s="753"/>
      <c r="DM90" s="776"/>
      <c r="DR90" s="753"/>
      <c r="DS90" s="778"/>
      <c r="DT90" s="770"/>
      <c r="DW90" s="819"/>
    </row>
    <row r="91" spans="1:127" s="758" customFormat="1" ht="12.75" customHeight="1">
      <c r="A91" s="773"/>
      <c r="B91" s="773"/>
      <c r="C91" s="773"/>
      <c r="D91" s="773"/>
      <c r="E91" s="773"/>
      <c r="F91" s="773"/>
      <c r="G91" s="773"/>
      <c r="H91" s="773"/>
      <c r="I91" s="773"/>
      <c r="J91" s="1141"/>
      <c r="K91" s="1039"/>
      <c r="L91" s="1141"/>
      <c r="M91" s="1139"/>
      <c r="N91" s="1076"/>
      <c r="O91" s="1127"/>
      <c r="P91" s="1130"/>
      <c r="Q91" s="1039"/>
      <c r="R91" s="1039"/>
      <c r="S91" s="1039"/>
      <c r="T91" s="1134"/>
      <c r="U91" s="1110"/>
      <c r="V91" s="1135"/>
      <c r="W91" s="1135"/>
      <c r="X91" s="1100"/>
      <c r="Y91" s="1088"/>
      <c r="Z91" s="1088"/>
      <c r="AI91" s="1034"/>
      <c r="AJ91" s="1034"/>
      <c r="AK91" s="1034"/>
      <c r="AL91" s="1034"/>
      <c r="AM91" s="1034"/>
      <c r="AN91" s="1034"/>
      <c r="AO91" s="1034"/>
      <c r="CN91" s="753"/>
      <c r="CO91" s="753"/>
      <c r="CP91" s="753"/>
      <c r="CQ91" s="753"/>
      <c r="CR91" s="753"/>
      <c r="CS91" s="753"/>
      <c r="CT91" s="753"/>
      <c r="CU91" s="753"/>
      <c r="CV91" s="753"/>
      <c r="CW91" s="753"/>
      <c r="CX91" s="753"/>
      <c r="CY91" s="753"/>
      <c r="CZ91" s="753"/>
      <c r="DA91" s="753"/>
      <c r="DB91" s="753"/>
      <c r="DC91" s="753"/>
      <c r="DD91" s="753"/>
      <c r="DE91" s="753"/>
      <c r="DF91" s="753"/>
      <c r="DG91" s="753"/>
      <c r="DH91" s="753"/>
      <c r="DI91" s="753"/>
      <c r="DJ91" s="753"/>
      <c r="DK91" s="753"/>
      <c r="DL91" s="753"/>
      <c r="DM91" s="776"/>
      <c r="DR91" s="753"/>
      <c r="DS91" s="778"/>
      <c r="DT91" s="753"/>
      <c r="DW91" s="819"/>
    </row>
    <row r="92" spans="1:127" s="758" customFormat="1" ht="12.75" customHeight="1">
      <c r="A92" s="773"/>
      <c r="B92" s="773"/>
      <c r="C92" s="773"/>
      <c r="D92" s="773"/>
      <c r="E92" s="773"/>
      <c r="F92" s="773"/>
      <c r="G92" s="773"/>
      <c r="H92" s="773"/>
      <c r="I92" s="773"/>
      <c r="J92" s="1141"/>
      <c r="K92" s="1039"/>
      <c r="L92" s="1141"/>
      <c r="M92" s="1143"/>
      <c r="N92" s="1076"/>
      <c r="O92" s="1127"/>
      <c r="P92" s="1110"/>
      <c r="Q92" s="1039"/>
      <c r="R92" s="1039"/>
      <c r="S92" s="1039"/>
      <c r="T92" s="1110"/>
      <c r="U92" s="1429"/>
      <c r="V92" s="1135"/>
      <c r="W92" s="1135"/>
      <c r="X92" s="1088"/>
      <c r="Y92" s="1088"/>
      <c r="Z92" s="1088"/>
      <c r="AI92" s="1034"/>
      <c r="AJ92" s="1034"/>
      <c r="AK92" s="1034"/>
      <c r="AL92" s="1034"/>
      <c r="AM92" s="1034"/>
      <c r="AN92" s="1034"/>
      <c r="AO92" s="1034"/>
      <c r="CN92" s="753"/>
      <c r="CO92" s="753"/>
      <c r="CP92" s="753"/>
      <c r="CQ92" s="753"/>
      <c r="CR92" s="753"/>
      <c r="CS92" s="753"/>
      <c r="CT92" s="753"/>
      <c r="CU92" s="753"/>
      <c r="CV92" s="753"/>
      <c r="CW92" s="753"/>
      <c r="CX92" s="753"/>
      <c r="CY92" s="753"/>
      <c r="CZ92" s="753"/>
      <c r="DA92" s="753"/>
      <c r="DB92" s="753"/>
      <c r="DC92" s="753"/>
      <c r="DD92" s="753"/>
      <c r="DE92" s="753"/>
      <c r="DF92" s="753"/>
      <c r="DG92" s="753"/>
      <c r="DH92" s="753"/>
      <c r="DI92" s="753"/>
      <c r="DJ92" s="753"/>
      <c r="DK92" s="753"/>
      <c r="DL92" s="753"/>
      <c r="DM92" s="776"/>
      <c r="DR92" s="753"/>
      <c r="DS92" s="778"/>
      <c r="DT92" s="753"/>
      <c r="DW92" s="819"/>
    </row>
    <row r="93" spans="1:127" s="758" customFormat="1" ht="12.75" customHeight="1">
      <c r="A93" s="773"/>
      <c r="B93" s="773"/>
      <c r="C93" s="773"/>
      <c r="D93" s="773"/>
      <c r="E93" s="773"/>
      <c r="F93" s="773"/>
      <c r="G93" s="773"/>
      <c r="H93" s="773"/>
      <c r="I93" s="773"/>
      <c r="J93" s="1141"/>
      <c r="K93" s="1039"/>
      <c r="L93" s="1141"/>
      <c r="M93" s="1143"/>
      <c r="N93" s="1076"/>
      <c r="O93" s="1127"/>
      <c r="P93" s="1110"/>
      <c r="Q93" s="1039"/>
      <c r="R93" s="1039"/>
      <c r="S93" s="1039"/>
      <c r="T93" s="1110"/>
      <c r="U93" s="1426"/>
      <c r="V93" s="1135"/>
      <c r="W93" s="1135"/>
      <c r="X93" s="1100"/>
      <c r="Y93" s="1088"/>
      <c r="Z93" s="1088"/>
      <c r="AI93" s="1034"/>
      <c r="AJ93" s="1034"/>
      <c r="AK93" s="1034"/>
      <c r="AL93" s="1034"/>
      <c r="AM93" s="1034"/>
      <c r="AN93" s="1034"/>
      <c r="AO93" s="1034"/>
      <c r="CN93" s="753"/>
      <c r="CO93" s="753"/>
      <c r="CP93" s="753"/>
      <c r="CQ93" s="753"/>
      <c r="CR93" s="753"/>
      <c r="CS93" s="753"/>
      <c r="CT93" s="753"/>
      <c r="CU93" s="753"/>
      <c r="CV93" s="753"/>
      <c r="CW93" s="753"/>
      <c r="CX93" s="753"/>
      <c r="CY93" s="753"/>
      <c r="CZ93" s="753"/>
      <c r="DA93" s="753"/>
      <c r="DB93" s="753"/>
      <c r="DC93" s="753"/>
      <c r="DD93" s="753"/>
      <c r="DE93" s="753"/>
      <c r="DF93" s="753"/>
      <c r="DG93" s="753"/>
      <c r="DH93" s="753"/>
      <c r="DI93" s="753"/>
      <c r="DJ93" s="753"/>
      <c r="DK93" s="753"/>
      <c r="DL93" s="753"/>
      <c r="DM93" s="776"/>
      <c r="DR93" s="753"/>
      <c r="DS93" s="778"/>
      <c r="DT93" s="770"/>
      <c r="DW93" s="819"/>
    </row>
    <row r="94" spans="1:127" s="758" customFormat="1" ht="12.75" customHeight="1">
      <c r="A94" s="773"/>
      <c r="B94" s="773"/>
      <c r="C94" s="772"/>
      <c r="D94" s="773"/>
      <c r="E94" s="773"/>
      <c r="F94" s="773"/>
      <c r="G94" s="773"/>
      <c r="H94" s="773"/>
      <c r="I94" s="773"/>
      <c r="J94" s="1141"/>
      <c r="K94" s="1039"/>
      <c r="L94" s="1141"/>
      <c r="M94" s="1076"/>
      <c r="N94" s="1080"/>
      <c r="O94" s="1063"/>
      <c r="P94" s="1110"/>
      <c r="Q94" s="1039"/>
      <c r="R94" s="1039"/>
      <c r="S94" s="1039"/>
      <c r="T94" s="1110"/>
      <c r="U94" s="1429"/>
      <c r="V94" s="1135"/>
      <c r="W94" s="1135"/>
      <c r="X94" s="1100"/>
      <c r="Y94" s="1088"/>
      <c r="Z94" s="1088"/>
      <c r="AI94" s="1034"/>
      <c r="AJ94" s="1034"/>
      <c r="AK94" s="1034"/>
      <c r="AL94" s="1034"/>
      <c r="AM94" s="1034"/>
      <c r="AN94" s="1034"/>
      <c r="AO94" s="1034"/>
      <c r="CN94" s="753"/>
      <c r="CO94" s="753"/>
      <c r="CP94" s="753"/>
      <c r="CQ94" s="753"/>
      <c r="CR94" s="753"/>
      <c r="CS94" s="753"/>
      <c r="CT94" s="753"/>
      <c r="CU94" s="753"/>
      <c r="CV94" s="753"/>
      <c r="CW94" s="753"/>
      <c r="CX94" s="753"/>
      <c r="CY94" s="753"/>
      <c r="CZ94" s="753"/>
      <c r="DA94" s="753"/>
      <c r="DB94" s="753"/>
      <c r="DC94" s="753"/>
      <c r="DD94" s="753"/>
      <c r="DE94" s="753"/>
      <c r="DF94" s="753"/>
      <c r="DG94" s="753"/>
      <c r="DH94" s="753"/>
      <c r="DI94" s="753"/>
      <c r="DJ94" s="753"/>
      <c r="DK94" s="753"/>
      <c r="DL94" s="753"/>
      <c r="DM94" s="776"/>
      <c r="DR94" s="753"/>
      <c r="DS94" s="778"/>
      <c r="DT94" s="770"/>
      <c r="DW94" s="819"/>
    </row>
    <row r="95" spans="1:127" s="758" customFormat="1" ht="12.75" customHeight="1">
      <c r="A95" s="773"/>
      <c r="B95" s="773"/>
      <c r="C95" s="772"/>
      <c r="D95" s="841"/>
      <c r="E95" s="773"/>
      <c r="F95" s="773"/>
      <c r="G95" s="773"/>
      <c r="H95" s="773"/>
      <c r="I95" s="773"/>
      <c r="J95" s="1141"/>
      <c r="K95" s="1039"/>
      <c r="L95" s="1141"/>
      <c r="M95" s="1076"/>
      <c r="N95" s="1080"/>
      <c r="O95" s="1063"/>
      <c r="P95" s="1130"/>
      <c r="Q95" s="1039"/>
      <c r="R95" s="1039"/>
      <c r="S95" s="1039"/>
      <c r="T95" s="1110"/>
      <c r="U95" s="1426"/>
      <c r="V95" s="1110"/>
      <c r="W95" s="1110"/>
      <c r="X95" s="1110"/>
      <c r="Y95" s="1088"/>
      <c r="Z95" s="1088"/>
      <c r="AI95" s="1034"/>
      <c r="AJ95" s="1034"/>
      <c r="AK95" s="1034"/>
      <c r="AL95" s="1034"/>
      <c r="AM95" s="1034"/>
      <c r="AN95" s="1034"/>
      <c r="AO95" s="1034"/>
      <c r="CN95" s="753"/>
      <c r="CO95" s="753"/>
      <c r="CP95" s="753"/>
      <c r="CQ95" s="753"/>
      <c r="CR95" s="753"/>
      <c r="CS95" s="753"/>
      <c r="CT95" s="753"/>
      <c r="CU95" s="753"/>
      <c r="CV95" s="753"/>
      <c r="CW95" s="753"/>
      <c r="CX95" s="753"/>
      <c r="CY95" s="753"/>
      <c r="CZ95" s="753"/>
      <c r="DA95" s="753"/>
      <c r="DB95" s="753"/>
      <c r="DC95" s="753"/>
      <c r="DD95" s="753"/>
      <c r="DE95" s="753"/>
      <c r="DF95" s="753"/>
      <c r="DG95" s="753"/>
      <c r="DH95" s="753"/>
      <c r="DI95" s="753"/>
      <c r="DJ95" s="753"/>
      <c r="DK95" s="753"/>
      <c r="DL95" s="753"/>
      <c r="DM95" s="776"/>
      <c r="DR95" s="753"/>
      <c r="DS95" s="778"/>
      <c r="DT95" s="770"/>
      <c r="DW95" s="819"/>
    </row>
    <row r="96" spans="1:127" s="758" customFormat="1" ht="12.75" customHeight="1">
      <c r="A96" s="773"/>
      <c r="B96" s="773"/>
      <c r="C96" s="772"/>
      <c r="D96" s="841"/>
      <c r="E96" s="773"/>
      <c r="F96" s="773"/>
      <c r="G96" s="773"/>
      <c r="H96" s="773"/>
      <c r="I96" s="773"/>
      <c r="J96" s="1141"/>
      <c r="K96" s="1039"/>
      <c r="L96" s="1141"/>
      <c r="M96" s="1076"/>
      <c r="N96" s="1080"/>
      <c r="O96" s="1127"/>
      <c r="P96" s="1130"/>
      <c r="Q96" s="1039"/>
      <c r="R96" s="1039"/>
      <c r="S96" s="1039"/>
      <c r="T96" s="1110"/>
      <c r="U96" s="1426"/>
      <c r="V96" s="1100"/>
      <c r="W96" s="1100"/>
      <c r="X96" s="1088"/>
      <c r="Y96" s="1088"/>
      <c r="Z96" s="1088"/>
      <c r="AI96" s="1034"/>
      <c r="AJ96" s="1034"/>
      <c r="AK96" s="1034"/>
      <c r="AL96" s="1034"/>
      <c r="AM96" s="1034"/>
      <c r="AN96" s="1034"/>
      <c r="AO96" s="1034"/>
      <c r="CN96" s="753"/>
      <c r="CO96" s="753"/>
      <c r="CP96" s="753"/>
      <c r="CQ96" s="753"/>
      <c r="CR96" s="753"/>
      <c r="CS96" s="753"/>
      <c r="CT96" s="753"/>
      <c r="CU96" s="753"/>
      <c r="CV96" s="753"/>
      <c r="CW96" s="753"/>
      <c r="CX96" s="753"/>
      <c r="CY96" s="753"/>
      <c r="CZ96" s="753"/>
      <c r="DA96" s="753"/>
      <c r="DB96" s="753"/>
      <c r="DC96" s="753"/>
      <c r="DD96" s="753"/>
      <c r="DE96" s="753"/>
      <c r="DF96" s="753"/>
      <c r="DG96" s="753"/>
      <c r="DH96" s="753"/>
      <c r="DI96" s="753"/>
      <c r="DJ96" s="753"/>
      <c r="DK96" s="753"/>
      <c r="DL96" s="753"/>
      <c r="DM96" s="776"/>
    </row>
    <row r="97" spans="1:117" s="758" customFormat="1" ht="12.75" customHeight="1">
      <c r="A97" s="773"/>
      <c r="B97" s="773"/>
      <c r="C97" s="772"/>
      <c r="D97" s="841"/>
      <c r="E97" s="773"/>
      <c r="F97" s="773"/>
      <c r="G97" s="773"/>
      <c r="H97" s="773"/>
      <c r="I97" s="773"/>
      <c r="J97" s="1141"/>
      <c r="K97" s="1039"/>
      <c r="L97" s="1141"/>
      <c r="M97" s="1081"/>
      <c r="N97" s="1076"/>
      <c r="O97" s="1127"/>
      <c r="P97" s="1130"/>
      <c r="Q97" s="1039"/>
      <c r="R97" s="1039"/>
      <c r="S97" s="1039"/>
      <c r="T97" s="1136"/>
      <c r="U97" s="1110"/>
      <c r="V97" s="1110"/>
      <c r="W97" s="1110"/>
      <c r="X97" s="1088"/>
      <c r="Y97" s="1088"/>
      <c r="Z97" s="1088"/>
      <c r="AI97" s="1034"/>
      <c r="AJ97" s="1034"/>
      <c r="AK97" s="1034"/>
      <c r="AL97" s="1034"/>
      <c r="AM97" s="1034"/>
      <c r="AN97" s="1034"/>
      <c r="AO97" s="1034"/>
      <c r="CN97" s="753"/>
      <c r="CO97" s="753"/>
      <c r="CP97" s="753"/>
      <c r="CQ97" s="753"/>
      <c r="CR97" s="753"/>
      <c r="CS97" s="753"/>
      <c r="CT97" s="753"/>
      <c r="CU97" s="753"/>
      <c r="CV97" s="753"/>
      <c r="CW97" s="753"/>
      <c r="CX97" s="753"/>
      <c r="CY97" s="753"/>
      <c r="CZ97" s="753"/>
      <c r="DA97" s="753"/>
      <c r="DB97" s="753"/>
      <c r="DC97" s="753"/>
      <c r="DD97" s="753"/>
      <c r="DE97" s="753"/>
      <c r="DF97" s="753"/>
      <c r="DG97" s="753"/>
      <c r="DH97" s="753"/>
      <c r="DI97" s="753"/>
      <c r="DJ97" s="753"/>
      <c r="DK97" s="753"/>
      <c r="DL97" s="753"/>
      <c r="DM97" s="776"/>
    </row>
    <row r="98" spans="1:117" s="758" customFormat="1" ht="12.75" customHeight="1">
      <c r="A98" s="773"/>
      <c r="B98" s="773"/>
      <c r="C98" s="772"/>
      <c r="D98" s="841"/>
      <c r="E98" s="773"/>
      <c r="F98" s="773"/>
      <c r="G98" s="773"/>
      <c r="H98" s="773"/>
      <c r="I98" s="773"/>
      <c r="J98" s="1141"/>
      <c r="K98" s="1039"/>
      <c r="L98" s="1141"/>
      <c r="M98" s="1063"/>
      <c r="N98" s="1063"/>
      <c r="O98" s="1063"/>
      <c r="P98" s="1130"/>
      <c r="Q98" s="1039"/>
      <c r="R98" s="1039"/>
      <c r="S98" s="1039"/>
      <c r="T98" s="1134"/>
      <c r="U98" s="1110"/>
      <c r="V98" s="1135"/>
      <c r="W98" s="1135"/>
      <c r="X98" s="1088"/>
      <c r="Y98" s="1088"/>
      <c r="Z98" s="1088"/>
      <c r="AI98" s="1034"/>
      <c r="AJ98" s="1034"/>
      <c r="AK98" s="1034"/>
      <c r="AL98" s="1034"/>
      <c r="AM98" s="1034"/>
      <c r="AN98" s="1034"/>
      <c r="AO98" s="1034"/>
      <c r="CN98" s="753"/>
      <c r="CO98" s="753"/>
      <c r="CP98" s="753"/>
      <c r="CQ98" s="753"/>
      <c r="CR98" s="753"/>
      <c r="CS98" s="753"/>
      <c r="CT98" s="753"/>
      <c r="CU98" s="753"/>
      <c r="CV98" s="753"/>
      <c r="CW98" s="753"/>
      <c r="CX98" s="753"/>
      <c r="CY98" s="753"/>
      <c r="CZ98" s="753"/>
      <c r="DA98" s="753"/>
      <c r="DB98" s="753"/>
      <c r="DC98" s="753"/>
      <c r="DD98" s="753"/>
      <c r="DE98" s="753"/>
      <c r="DF98" s="753"/>
      <c r="DG98" s="753"/>
      <c r="DH98" s="753"/>
      <c r="DI98" s="753"/>
      <c r="DJ98" s="753"/>
      <c r="DK98" s="753"/>
      <c r="DL98" s="753"/>
      <c r="DM98" s="776"/>
    </row>
    <row r="99" spans="1:117" s="758" customFormat="1" ht="12.75" customHeight="1">
      <c r="A99" s="773"/>
      <c r="B99" s="773"/>
      <c r="C99" s="772"/>
      <c r="D99" s="841"/>
      <c r="E99" s="773"/>
      <c r="F99" s="773"/>
      <c r="G99" s="773"/>
      <c r="H99" s="773"/>
      <c r="I99" s="773"/>
      <c r="J99" s="1063"/>
      <c r="K99" s="1039"/>
      <c r="L99" s="1055"/>
      <c r="M99" s="1063"/>
      <c r="N99" s="1087"/>
      <c r="O99" s="1127"/>
      <c r="P99" s="1130"/>
      <c r="Q99" s="1039"/>
      <c r="R99" s="1039"/>
      <c r="S99" s="1039"/>
      <c r="T99" s="1134"/>
      <c r="U99" s="1110"/>
      <c r="V99" s="1135"/>
      <c r="W99" s="1135"/>
      <c r="X99" s="1088"/>
      <c r="Y99" s="1061"/>
      <c r="Z99" s="1061"/>
      <c r="AI99" s="1034"/>
      <c r="AJ99" s="1034"/>
      <c r="AK99" s="1034"/>
      <c r="AL99" s="1034"/>
      <c r="AM99" s="1034"/>
      <c r="AN99" s="1034"/>
      <c r="AO99" s="1034"/>
      <c r="CN99" s="753"/>
      <c r="CO99" s="753"/>
      <c r="CP99" s="753"/>
      <c r="CQ99" s="753"/>
      <c r="CR99" s="753"/>
      <c r="CS99" s="753"/>
      <c r="CT99" s="753"/>
      <c r="CU99" s="753"/>
      <c r="CV99" s="753"/>
      <c r="CW99" s="753"/>
      <c r="CX99" s="753"/>
      <c r="CY99" s="753"/>
      <c r="CZ99" s="753"/>
      <c r="DA99" s="753"/>
      <c r="DB99" s="753"/>
      <c r="DC99" s="753"/>
      <c r="DD99" s="753"/>
      <c r="DE99" s="753"/>
      <c r="DF99" s="753"/>
      <c r="DG99" s="753"/>
      <c r="DH99" s="753"/>
      <c r="DI99" s="753"/>
      <c r="DJ99" s="753"/>
      <c r="DK99" s="753"/>
      <c r="DL99" s="753"/>
      <c r="DM99" s="776"/>
    </row>
    <row r="100" spans="1:117" s="758" customFormat="1" ht="12.75" customHeight="1">
      <c r="A100" s="771"/>
      <c r="B100" s="772"/>
      <c r="C100" s="773"/>
      <c r="D100" s="773"/>
      <c r="E100" s="773"/>
      <c r="F100" s="773"/>
      <c r="G100" s="773"/>
      <c r="H100" s="773"/>
      <c r="I100" s="773"/>
      <c r="J100" s="1063"/>
      <c r="K100" s="1039"/>
      <c r="L100" s="1143"/>
      <c r="M100" s="1143"/>
      <c r="N100" s="1076"/>
      <c r="O100" s="1127"/>
      <c r="P100" s="1130"/>
      <c r="Q100" s="1039"/>
      <c r="R100" s="1039"/>
      <c r="S100" s="1039"/>
      <c r="T100" s="1134"/>
      <c r="U100" s="1110"/>
      <c r="V100" s="1135"/>
      <c r="W100" s="1135"/>
      <c r="X100" s="1088"/>
      <c r="Y100" s="1061"/>
      <c r="Z100" s="1061"/>
      <c r="AI100" s="1034"/>
      <c r="AJ100" s="1034"/>
      <c r="AK100" s="1034"/>
      <c r="AL100" s="1034"/>
      <c r="AM100" s="1034"/>
      <c r="AN100" s="1034"/>
      <c r="AO100" s="1034"/>
      <c r="CN100" s="753"/>
      <c r="CO100" s="753"/>
      <c r="CP100" s="753"/>
      <c r="CQ100" s="753"/>
      <c r="CR100" s="753"/>
      <c r="CS100" s="753"/>
      <c r="CT100" s="753"/>
      <c r="CU100" s="753"/>
      <c r="CV100" s="753"/>
      <c r="CW100" s="753"/>
      <c r="CX100" s="753"/>
      <c r="CY100" s="753"/>
      <c r="CZ100" s="753"/>
      <c r="DA100" s="753"/>
      <c r="DB100" s="753"/>
      <c r="DC100" s="753"/>
      <c r="DD100" s="753"/>
      <c r="DE100" s="753"/>
      <c r="DF100" s="753"/>
      <c r="DG100" s="753"/>
      <c r="DH100" s="753"/>
      <c r="DI100" s="753"/>
      <c r="DJ100" s="753"/>
      <c r="DK100" s="753"/>
      <c r="DL100" s="753"/>
      <c r="DM100" s="776"/>
    </row>
    <row r="101" spans="1:117" s="758" customFormat="1" ht="12.75" customHeight="1">
      <c r="A101" s="773"/>
      <c r="B101" s="772"/>
      <c r="C101" s="773"/>
      <c r="D101" s="773"/>
      <c r="E101" s="773"/>
      <c r="F101" s="773"/>
      <c r="G101" s="773"/>
      <c r="H101" s="773"/>
      <c r="I101" s="777"/>
      <c r="J101" s="1063"/>
      <c r="K101" s="1039"/>
      <c r="L101" s="1143"/>
      <c r="M101" s="1143"/>
      <c r="N101" s="1076"/>
      <c r="O101" s="1127"/>
      <c r="P101" s="1130"/>
      <c r="Q101" s="1039"/>
      <c r="R101" s="1039"/>
      <c r="S101" s="1039"/>
      <c r="T101" s="1134"/>
      <c r="U101" s="1110"/>
      <c r="V101" s="1135"/>
      <c r="W101" s="1135"/>
      <c r="X101" s="1100"/>
      <c r="Y101" s="1061"/>
      <c r="Z101" s="1061"/>
      <c r="AI101" s="1034"/>
      <c r="AJ101" s="1034"/>
      <c r="AK101" s="1034"/>
      <c r="AL101" s="1034"/>
      <c r="AM101" s="1034"/>
      <c r="AN101" s="1034"/>
      <c r="AO101" s="1034"/>
      <c r="CN101" s="753"/>
      <c r="CO101" s="753"/>
      <c r="CP101" s="753"/>
      <c r="CQ101" s="753"/>
      <c r="CR101" s="753"/>
      <c r="CS101" s="753"/>
      <c r="CT101" s="753"/>
      <c r="CU101" s="753"/>
      <c r="CV101" s="753"/>
      <c r="CW101" s="753"/>
      <c r="CX101" s="753"/>
      <c r="CY101" s="753"/>
      <c r="CZ101" s="753"/>
      <c r="DA101" s="753"/>
      <c r="DB101" s="753"/>
      <c r="DC101" s="753"/>
      <c r="DD101" s="753"/>
      <c r="DE101" s="753"/>
      <c r="DF101" s="753"/>
      <c r="DG101" s="753"/>
      <c r="DH101" s="753"/>
      <c r="DI101" s="753"/>
      <c r="DJ101" s="753"/>
      <c r="DK101" s="753"/>
      <c r="DL101" s="753"/>
      <c r="DM101" s="776"/>
    </row>
    <row r="102" spans="1:117" s="758" customFormat="1" ht="12.75" customHeight="1">
      <c r="A102" s="773"/>
      <c r="B102" s="772"/>
      <c r="C102" s="773"/>
      <c r="D102" s="773"/>
      <c r="E102" s="773"/>
      <c r="F102" s="773"/>
      <c r="G102" s="773"/>
      <c r="H102" s="773"/>
      <c r="I102" s="773"/>
      <c r="J102" s="1063"/>
      <c r="K102" s="1039"/>
      <c r="L102" s="1143"/>
      <c r="M102" s="1143"/>
      <c r="N102" s="1076"/>
      <c r="O102" s="1127"/>
      <c r="P102" s="1130"/>
      <c r="Q102" s="1039"/>
      <c r="R102" s="1039"/>
      <c r="S102" s="1039"/>
      <c r="T102" s="1110"/>
      <c r="U102" s="1429"/>
      <c r="V102" s="1135"/>
      <c r="W102" s="1135"/>
      <c r="X102" s="1110"/>
      <c r="Y102" s="1110"/>
      <c r="Z102" s="1110"/>
      <c r="AI102" s="1034"/>
      <c r="AJ102" s="1034"/>
      <c r="AK102" s="1034"/>
      <c r="AL102" s="1034"/>
      <c r="AM102" s="1034"/>
      <c r="AN102" s="1034"/>
      <c r="AO102" s="1034"/>
      <c r="CN102" s="753"/>
      <c r="CO102" s="753"/>
      <c r="CP102" s="753"/>
      <c r="CQ102" s="753"/>
      <c r="CR102" s="753"/>
      <c r="CS102" s="753"/>
      <c r="CT102" s="753"/>
      <c r="CU102" s="753"/>
      <c r="CV102" s="753"/>
      <c r="CW102" s="753"/>
      <c r="CX102" s="753"/>
      <c r="CY102" s="753"/>
      <c r="CZ102" s="753"/>
      <c r="DA102" s="753"/>
      <c r="DB102" s="753"/>
      <c r="DC102" s="753"/>
      <c r="DD102" s="753"/>
      <c r="DE102" s="753"/>
      <c r="DF102" s="753"/>
      <c r="DG102" s="753"/>
      <c r="DH102" s="753"/>
      <c r="DI102" s="753"/>
      <c r="DJ102" s="753"/>
      <c r="DK102" s="753"/>
      <c r="DL102" s="753"/>
      <c r="DM102" s="776"/>
    </row>
    <row r="103" spans="1:117" s="758" customFormat="1" ht="12.75" customHeight="1">
      <c r="A103" s="773"/>
      <c r="B103" s="773"/>
      <c r="C103" s="773"/>
      <c r="D103" s="773"/>
      <c r="E103" s="773"/>
      <c r="F103" s="773"/>
      <c r="G103" s="773"/>
      <c r="H103" s="773"/>
      <c r="I103" s="773"/>
      <c r="J103" s="1063"/>
      <c r="K103" s="1090"/>
      <c r="L103" s="1039"/>
      <c r="M103" s="1104"/>
      <c r="N103" s="1083"/>
      <c r="O103" s="1130"/>
      <c r="P103" s="1130"/>
      <c r="Q103" s="1039"/>
      <c r="R103" s="1039"/>
      <c r="S103" s="1039"/>
      <c r="T103" s="1110"/>
      <c r="U103" s="1426"/>
      <c r="V103" s="1100"/>
      <c r="W103" s="1100"/>
      <c r="X103" s="1039"/>
      <c r="Y103" s="1039"/>
      <c r="Z103" s="1039"/>
      <c r="AI103" s="1034"/>
      <c r="AJ103" s="1034"/>
      <c r="AK103" s="1034"/>
      <c r="AL103" s="1034"/>
      <c r="AM103" s="1034"/>
      <c r="AN103" s="1034"/>
      <c r="AO103" s="1034"/>
      <c r="CN103" s="753"/>
      <c r="CO103" s="753"/>
      <c r="CP103" s="753"/>
      <c r="CQ103" s="753"/>
      <c r="CR103" s="753"/>
      <c r="CS103" s="753"/>
      <c r="CT103" s="753"/>
      <c r="CU103" s="753"/>
      <c r="CV103" s="753"/>
      <c r="CW103" s="753"/>
      <c r="CX103" s="753"/>
      <c r="CY103" s="753"/>
      <c r="CZ103" s="753"/>
      <c r="DA103" s="753"/>
      <c r="DB103" s="753"/>
      <c r="DC103" s="753"/>
      <c r="DD103" s="753"/>
      <c r="DE103" s="753"/>
      <c r="DF103" s="753"/>
      <c r="DG103" s="753"/>
      <c r="DH103" s="753"/>
      <c r="DI103" s="753"/>
      <c r="DJ103" s="753"/>
      <c r="DK103" s="753"/>
      <c r="DL103" s="753"/>
      <c r="DM103" s="776"/>
    </row>
    <row r="104" spans="1:117" s="758" customFormat="1" ht="12.75" customHeight="1">
      <c r="A104" s="773"/>
      <c r="B104" s="773"/>
      <c r="C104" s="773"/>
      <c r="D104" s="773"/>
      <c r="E104" s="773"/>
      <c r="F104" s="773"/>
      <c r="G104" s="773"/>
      <c r="H104" s="773"/>
      <c r="I104" s="773"/>
      <c r="J104" s="1063"/>
      <c r="K104" s="1061"/>
      <c r="L104" s="1063"/>
      <c r="M104" s="1081"/>
      <c r="N104" s="1083"/>
      <c r="O104" s="1130"/>
      <c r="P104" s="1130"/>
      <c r="Q104" s="1039"/>
      <c r="R104" s="1039"/>
      <c r="S104" s="1039"/>
      <c r="T104" s="1110"/>
      <c r="U104" s="1110"/>
      <c r="V104" s="1110"/>
      <c r="W104" s="1110"/>
      <c r="X104" s="1039"/>
      <c r="Y104" s="1039"/>
      <c r="Z104" s="1039"/>
      <c r="AI104" s="1034"/>
      <c r="AJ104" s="1034"/>
      <c r="AK104" s="1034"/>
      <c r="AL104" s="1034"/>
      <c r="AM104" s="1034"/>
      <c r="AN104" s="1034"/>
      <c r="AO104" s="1034"/>
      <c r="CN104" s="753"/>
      <c r="CO104" s="753"/>
      <c r="CP104" s="753"/>
      <c r="CQ104" s="753"/>
      <c r="CR104" s="753"/>
      <c r="CS104" s="753"/>
      <c r="CT104" s="753"/>
      <c r="CU104" s="753"/>
      <c r="CV104" s="753"/>
      <c r="CW104" s="753"/>
      <c r="CX104" s="753"/>
      <c r="CY104" s="753"/>
      <c r="CZ104" s="753"/>
      <c r="DA104" s="753"/>
      <c r="DB104" s="753"/>
      <c r="DC104" s="753"/>
      <c r="DD104" s="753"/>
      <c r="DE104" s="753"/>
      <c r="DF104" s="753"/>
      <c r="DG104" s="753"/>
      <c r="DH104" s="753"/>
      <c r="DI104" s="753"/>
      <c r="DJ104" s="753"/>
      <c r="DK104" s="753"/>
      <c r="DL104" s="753"/>
      <c r="DM104" s="776"/>
    </row>
    <row r="105" spans="1:117" s="758" customFormat="1" ht="12.75" customHeight="1">
      <c r="A105" s="773"/>
      <c r="B105" s="773"/>
      <c r="C105" s="773"/>
      <c r="D105" s="773"/>
      <c r="E105" s="773"/>
      <c r="F105" s="773"/>
      <c r="G105" s="773"/>
      <c r="H105" s="773"/>
      <c r="I105" s="773"/>
      <c r="J105" s="1063"/>
      <c r="K105" s="1061"/>
      <c r="L105" s="1063"/>
      <c r="M105" s="1063"/>
      <c r="N105" s="1039"/>
      <c r="O105" s="1039"/>
      <c r="P105" s="1130"/>
      <c r="Q105" s="1039"/>
      <c r="R105" s="1039"/>
      <c r="S105" s="1039"/>
      <c r="T105" s="1039"/>
      <c r="U105" s="1039"/>
      <c r="V105" s="1039"/>
      <c r="W105" s="1039"/>
      <c r="X105" s="1039"/>
      <c r="Y105" s="1039"/>
      <c r="Z105" s="1039"/>
      <c r="AI105" s="1034"/>
      <c r="AJ105" s="1034"/>
      <c r="AK105" s="1034"/>
      <c r="AL105" s="1034"/>
      <c r="AM105" s="1034"/>
      <c r="AN105" s="1034"/>
      <c r="AO105" s="1034"/>
      <c r="CN105" s="753"/>
      <c r="CO105" s="753"/>
      <c r="CP105" s="753"/>
      <c r="CQ105" s="753"/>
      <c r="CR105" s="753"/>
      <c r="CS105" s="753"/>
      <c r="CT105" s="753"/>
      <c r="CU105" s="753"/>
      <c r="CV105" s="753"/>
      <c r="CW105" s="753"/>
      <c r="CX105" s="753"/>
      <c r="CY105" s="753"/>
      <c r="CZ105" s="753"/>
      <c r="DA105" s="753"/>
      <c r="DB105" s="753"/>
      <c r="DC105" s="753"/>
      <c r="DD105" s="753"/>
      <c r="DE105" s="753"/>
      <c r="DF105" s="753"/>
      <c r="DG105" s="753"/>
      <c r="DH105" s="753"/>
      <c r="DI105" s="753"/>
      <c r="DJ105" s="753"/>
      <c r="DK105" s="753"/>
      <c r="DL105" s="753"/>
      <c r="DM105" s="776"/>
    </row>
    <row r="106" spans="1:117" s="758" customFormat="1" ht="12.75" customHeight="1">
      <c r="A106" s="773"/>
      <c r="B106" s="773"/>
      <c r="C106" s="773"/>
      <c r="D106" s="773"/>
      <c r="E106" s="773"/>
      <c r="F106" s="773"/>
      <c r="G106" s="773"/>
      <c r="H106" s="773"/>
      <c r="I106" s="773"/>
      <c r="J106" s="1063"/>
      <c r="K106" s="1061"/>
      <c r="L106" s="1063"/>
      <c r="M106" s="1081"/>
      <c r="N106" s="1076"/>
      <c r="O106" s="1130"/>
      <c r="P106" s="1130"/>
      <c r="Q106" s="1039"/>
      <c r="R106" s="1039"/>
      <c r="S106" s="1039"/>
      <c r="T106" s="1039"/>
      <c r="U106" s="1039"/>
      <c r="V106" s="1039"/>
      <c r="W106" s="1039"/>
      <c r="X106" s="1039"/>
      <c r="Y106" s="1039"/>
      <c r="Z106" s="1039"/>
      <c r="AI106" s="1034"/>
      <c r="AJ106" s="1034"/>
      <c r="AK106" s="1034"/>
      <c r="AL106" s="1034"/>
      <c r="AM106" s="1034"/>
      <c r="AN106" s="1034"/>
      <c r="AO106" s="1034"/>
      <c r="CN106" s="753"/>
      <c r="CO106" s="753"/>
      <c r="CP106" s="753"/>
      <c r="CQ106" s="753"/>
      <c r="CR106" s="753"/>
      <c r="CS106" s="753"/>
      <c r="CT106" s="753"/>
      <c r="CU106" s="753"/>
      <c r="CV106" s="753"/>
      <c r="CW106" s="753"/>
      <c r="CX106" s="753"/>
      <c r="CY106" s="753"/>
      <c r="CZ106" s="753"/>
      <c r="DA106" s="753"/>
      <c r="DB106" s="753"/>
      <c r="DC106" s="753"/>
      <c r="DD106" s="753"/>
      <c r="DE106" s="753"/>
      <c r="DF106" s="753"/>
      <c r="DG106" s="753"/>
      <c r="DH106" s="753"/>
      <c r="DI106" s="753"/>
      <c r="DJ106" s="753"/>
      <c r="DK106" s="753"/>
      <c r="DL106" s="753"/>
      <c r="DM106" s="776"/>
    </row>
    <row r="107" spans="1:117" s="758" customFormat="1" ht="12.75" customHeight="1">
      <c r="A107" s="780"/>
      <c r="B107" s="780"/>
      <c r="C107" s="780"/>
      <c r="D107" s="780"/>
      <c r="E107" s="780"/>
      <c r="F107" s="780"/>
      <c r="G107" s="780"/>
      <c r="H107" s="780"/>
      <c r="I107" s="780"/>
      <c r="J107" s="1063"/>
      <c r="K107" s="1061"/>
      <c r="L107" s="1063"/>
      <c r="M107" s="1081"/>
      <c r="N107" s="1137"/>
      <c r="O107" s="1130"/>
      <c r="P107" s="1130"/>
      <c r="Q107" s="1039"/>
      <c r="R107" s="1039"/>
      <c r="S107" s="1039"/>
      <c r="T107" s="1039"/>
      <c r="U107" s="1039"/>
      <c r="V107" s="1039"/>
      <c r="W107" s="1039"/>
      <c r="X107" s="1039"/>
      <c r="Y107" s="1039"/>
      <c r="Z107" s="1039"/>
      <c r="AI107" s="1034"/>
      <c r="AJ107" s="1034"/>
      <c r="AK107" s="1034"/>
      <c r="AL107" s="1034"/>
      <c r="AM107" s="1034"/>
      <c r="AN107" s="1034"/>
      <c r="AO107" s="1034"/>
      <c r="CN107" s="753"/>
      <c r="CO107" s="753"/>
      <c r="CP107" s="753"/>
      <c r="CQ107" s="753"/>
      <c r="CR107" s="753"/>
      <c r="CS107" s="753"/>
      <c r="CT107" s="753"/>
      <c r="CU107" s="753"/>
      <c r="CV107" s="753"/>
      <c r="CW107" s="753"/>
      <c r="CX107" s="753"/>
      <c r="CY107" s="753"/>
      <c r="CZ107" s="753"/>
      <c r="DA107" s="753"/>
      <c r="DB107" s="753"/>
      <c r="DC107" s="753"/>
      <c r="DD107" s="753"/>
      <c r="DE107" s="753"/>
      <c r="DF107" s="753"/>
      <c r="DG107" s="753"/>
      <c r="DH107" s="753"/>
      <c r="DI107" s="753"/>
      <c r="DJ107" s="753"/>
      <c r="DK107" s="753"/>
      <c r="DL107" s="753"/>
      <c r="DM107" s="776"/>
    </row>
    <row r="108" spans="1:117" s="758" customFormat="1" ht="12.75" customHeight="1">
      <c r="A108" s="780"/>
      <c r="B108" s="780"/>
      <c r="C108" s="780"/>
      <c r="D108" s="780"/>
      <c r="E108" s="780"/>
      <c r="F108" s="780"/>
      <c r="G108" s="780"/>
      <c r="H108" s="780"/>
      <c r="I108" s="780"/>
      <c r="J108" s="1063"/>
      <c r="K108" s="1061"/>
      <c r="L108" s="1063"/>
      <c r="M108" s="782"/>
      <c r="N108" s="1137"/>
      <c r="O108" s="1130"/>
      <c r="P108" s="783"/>
      <c r="Q108" s="1039"/>
      <c r="R108" s="1039"/>
      <c r="S108" s="1039"/>
      <c r="T108" s="1039"/>
      <c r="U108" s="1039"/>
      <c r="V108" s="1039"/>
      <c r="W108" s="1039"/>
      <c r="X108" s="1039"/>
      <c r="Y108" s="1039"/>
      <c r="Z108" s="1039"/>
      <c r="AI108" s="1034"/>
      <c r="AJ108" s="1034"/>
      <c r="AK108" s="1034"/>
      <c r="AL108" s="1034"/>
      <c r="AM108" s="1034"/>
      <c r="AN108" s="1034"/>
      <c r="AO108" s="1034"/>
      <c r="CN108" s="753"/>
      <c r="CO108" s="753"/>
      <c r="CP108" s="753"/>
      <c r="CQ108" s="753"/>
      <c r="CR108" s="753"/>
      <c r="CS108" s="753"/>
      <c r="CT108" s="753"/>
      <c r="CU108" s="753"/>
      <c r="CV108" s="753"/>
      <c r="CW108" s="753"/>
      <c r="CX108" s="753"/>
      <c r="CY108" s="753"/>
      <c r="CZ108" s="753"/>
      <c r="DA108" s="753"/>
      <c r="DB108" s="753"/>
      <c r="DC108" s="753"/>
      <c r="DD108" s="753"/>
      <c r="DE108" s="753"/>
      <c r="DF108" s="753"/>
      <c r="DG108" s="753"/>
      <c r="DH108" s="753"/>
      <c r="DI108" s="753"/>
      <c r="DJ108" s="753"/>
      <c r="DK108" s="753"/>
      <c r="DL108" s="753"/>
      <c r="DM108" s="776"/>
    </row>
    <row r="109" spans="1:117" s="758" customFormat="1" ht="12.75" customHeight="1">
      <c r="A109" s="780"/>
      <c r="B109" s="780"/>
      <c r="C109" s="780"/>
      <c r="D109" s="780"/>
      <c r="E109" s="780"/>
      <c r="F109" s="780"/>
      <c r="G109" s="780"/>
      <c r="H109" s="780"/>
      <c r="I109" s="780"/>
      <c r="J109" s="1063"/>
      <c r="K109" s="1061"/>
      <c r="L109" s="1063"/>
      <c r="M109" s="782"/>
      <c r="N109" s="1137"/>
      <c r="O109" s="1130"/>
      <c r="P109" s="783"/>
      <c r="Q109" s="1039"/>
      <c r="R109" s="1039"/>
      <c r="S109" s="1039"/>
      <c r="T109" s="1039"/>
      <c r="U109" s="1039"/>
      <c r="V109" s="1039"/>
      <c r="W109" s="1039"/>
      <c r="X109" s="1039"/>
      <c r="Y109" s="1039"/>
      <c r="Z109" s="1039"/>
      <c r="AI109" s="1034"/>
      <c r="AJ109" s="1034"/>
      <c r="AK109" s="1034"/>
      <c r="AL109" s="1034"/>
      <c r="AM109" s="1034"/>
      <c r="AN109" s="1034"/>
      <c r="AO109" s="1034"/>
      <c r="CN109" s="753"/>
      <c r="CO109" s="753"/>
      <c r="CP109" s="753"/>
      <c r="CQ109" s="753"/>
      <c r="CR109" s="753"/>
      <c r="CS109" s="753"/>
      <c r="CT109" s="753"/>
      <c r="CU109" s="753"/>
      <c r="CV109" s="753"/>
      <c r="CW109" s="753"/>
      <c r="CX109" s="753"/>
      <c r="CY109" s="753"/>
      <c r="CZ109" s="753"/>
      <c r="DA109" s="753"/>
      <c r="DB109" s="753"/>
      <c r="DC109" s="753"/>
      <c r="DD109" s="753"/>
      <c r="DE109" s="753"/>
      <c r="DF109" s="753"/>
      <c r="DG109" s="753"/>
      <c r="DH109" s="753"/>
      <c r="DI109" s="753"/>
      <c r="DJ109" s="753"/>
      <c r="DK109" s="753"/>
      <c r="DL109" s="753"/>
      <c r="DM109" s="776"/>
    </row>
    <row r="110" spans="1:117" s="758" customFormat="1" ht="12.75" customHeight="1">
      <c r="A110" s="780"/>
      <c r="B110" s="780"/>
      <c r="C110" s="780"/>
      <c r="D110" s="780"/>
      <c r="E110" s="780"/>
      <c r="F110" s="780"/>
      <c r="G110" s="780"/>
      <c r="H110" s="784"/>
      <c r="I110" s="785"/>
      <c r="J110" s="1063"/>
      <c r="K110" s="1061"/>
      <c r="L110" s="1063"/>
      <c r="M110" s="1144"/>
      <c r="N110" s="1090"/>
      <c r="O110" s="1130"/>
      <c r="P110" s="1130"/>
      <c r="Q110" s="1039"/>
      <c r="R110" s="1039"/>
      <c r="S110" s="1039"/>
      <c r="T110" s="1039"/>
      <c r="U110" s="1039"/>
      <c r="V110" s="1039"/>
      <c r="W110" s="1039"/>
      <c r="X110" s="1039"/>
      <c r="Y110" s="1039"/>
      <c r="Z110" s="1039"/>
      <c r="AI110" s="1034"/>
      <c r="AJ110" s="1034"/>
      <c r="AK110" s="1034"/>
      <c r="AL110" s="1034"/>
      <c r="AM110" s="1034"/>
      <c r="AN110" s="1034"/>
      <c r="AO110" s="1034"/>
      <c r="CN110" s="753"/>
      <c r="CO110" s="753"/>
      <c r="CP110" s="753"/>
      <c r="CQ110" s="753"/>
      <c r="CR110" s="753"/>
      <c r="CS110" s="753"/>
      <c r="CT110" s="753"/>
      <c r="CU110" s="753"/>
      <c r="CV110" s="753"/>
      <c r="CW110" s="753"/>
      <c r="CX110" s="753"/>
      <c r="CY110" s="753"/>
      <c r="CZ110" s="753"/>
      <c r="DA110" s="753"/>
      <c r="DB110" s="753"/>
      <c r="DC110" s="753"/>
      <c r="DD110" s="753"/>
      <c r="DE110" s="753"/>
      <c r="DF110" s="753"/>
      <c r="DG110" s="753"/>
      <c r="DH110" s="753"/>
      <c r="DI110" s="753"/>
      <c r="DJ110" s="753"/>
      <c r="DK110" s="753"/>
      <c r="DL110" s="753"/>
      <c r="DM110" s="776"/>
    </row>
    <row r="111" spans="1:117" s="758" customFormat="1" ht="12.75" customHeight="1">
      <c r="A111" s="780"/>
      <c r="B111" s="780"/>
      <c r="C111" s="780"/>
      <c r="D111" s="780"/>
      <c r="E111" s="780"/>
      <c r="F111" s="780"/>
      <c r="G111" s="780"/>
      <c r="H111" s="786"/>
      <c r="I111" s="787"/>
      <c r="J111" s="1063"/>
      <c r="K111" s="1061"/>
      <c r="L111" s="1063"/>
      <c r="M111" s="1063"/>
      <c r="N111" s="1039"/>
      <c r="O111" s="1039"/>
      <c r="P111" s="1130"/>
      <c r="Q111" s="1039"/>
      <c r="R111" s="1039"/>
      <c r="S111" s="1039"/>
      <c r="T111" s="1039"/>
      <c r="U111" s="1039"/>
      <c r="V111" s="1039"/>
      <c r="W111" s="1039"/>
      <c r="X111" s="1039"/>
      <c r="Y111" s="1039"/>
      <c r="Z111" s="1039"/>
      <c r="AI111" s="1034"/>
      <c r="AJ111" s="1034"/>
      <c r="AK111" s="1034"/>
      <c r="AL111" s="1034"/>
      <c r="AM111" s="1034"/>
      <c r="AN111" s="1034"/>
      <c r="AO111" s="1034"/>
      <c r="CN111" s="753"/>
      <c r="CO111" s="753"/>
      <c r="CP111" s="753"/>
      <c r="CQ111" s="753"/>
      <c r="CR111" s="753"/>
      <c r="CS111" s="753"/>
      <c r="CT111" s="753"/>
      <c r="CU111" s="753"/>
      <c r="CV111" s="753"/>
      <c r="CW111" s="753"/>
      <c r="CX111" s="753"/>
      <c r="CY111" s="753"/>
      <c r="CZ111" s="753"/>
      <c r="DA111" s="753"/>
      <c r="DB111" s="753"/>
      <c r="DC111" s="753"/>
      <c r="DD111" s="753"/>
      <c r="DE111" s="753"/>
      <c r="DF111" s="753"/>
      <c r="DG111" s="753"/>
      <c r="DH111" s="753"/>
      <c r="DI111" s="753"/>
      <c r="DJ111" s="753"/>
      <c r="DK111" s="753"/>
      <c r="DL111" s="753"/>
      <c r="DM111" s="776"/>
    </row>
    <row r="112" spans="1:117" s="758" customFormat="1" ht="12.75" customHeight="1">
      <c r="A112" s="780"/>
      <c r="B112" s="780"/>
      <c r="C112" s="780"/>
      <c r="D112" s="780"/>
      <c r="E112" s="780"/>
      <c r="F112" s="780"/>
      <c r="G112" s="780"/>
      <c r="H112" s="780"/>
      <c r="I112" s="788"/>
      <c r="J112" s="1063"/>
      <c r="K112" s="1061"/>
      <c r="L112" s="1063"/>
      <c r="M112" s="1143"/>
      <c r="N112" s="1145"/>
      <c r="O112" s="1130"/>
      <c r="P112" s="1130"/>
      <c r="Q112" s="1039"/>
      <c r="R112" s="1039"/>
      <c r="S112" s="1039"/>
      <c r="T112" s="1039"/>
      <c r="U112" s="1039"/>
      <c r="V112" s="1039"/>
      <c r="W112" s="1039"/>
      <c r="X112" s="1039"/>
      <c r="Y112" s="1039"/>
      <c r="Z112" s="1039"/>
      <c r="AI112" s="1034"/>
      <c r="AJ112" s="1034"/>
      <c r="AK112" s="1034"/>
      <c r="AL112" s="1034"/>
      <c r="AM112" s="1034"/>
      <c r="AN112" s="1034"/>
      <c r="AO112" s="1034"/>
      <c r="CN112" s="753"/>
      <c r="CO112" s="753"/>
      <c r="CP112" s="753"/>
      <c r="CQ112" s="753"/>
      <c r="CR112" s="753"/>
      <c r="CS112" s="753"/>
      <c r="CT112" s="753"/>
      <c r="CU112" s="753"/>
      <c r="CV112" s="753"/>
      <c r="CW112" s="753"/>
      <c r="CX112" s="753"/>
      <c r="CY112" s="753"/>
      <c r="CZ112" s="753"/>
      <c r="DA112" s="753"/>
      <c r="DB112" s="753"/>
      <c r="DC112" s="753"/>
      <c r="DD112" s="753"/>
      <c r="DE112" s="753"/>
      <c r="DF112" s="753"/>
      <c r="DG112" s="753"/>
      <c r="DH112" s="753"/>
      <c r="DI112" s="753"/>
      <c r="DJ112" s="753"/>
      <c r="DK112" s="753"/>
      <c r="DL112" s="753"/>
      <c r="DM112" s="776"/>
    </row>
    <row r="113" spans="1:118" s="758" customFormat="1" ht="12.75" customHeight="1">
      <c r="A113" s="780"/>
      <c r="B113" s="780"/>
      <c r="C113" s="780"/>
      <c r="D113" s="780"/>
      <c r="E113" s="780"/>
      <c r="F113" s="780"/>
      <c r="G113" s="780"/>
      <c r="H113" s="788"/>
      <c r="I113" s="789"/>
      <c r="J113" s="1063"/>
      <c r="K113" s="1061"/>
      <c r="L113" s="1063"/>
      <c r="M113" s="1143"/>
      <c r="N113" s="1083"/>
      <c r="O113" s="1130"/>
      <c r="P113" s="1130"/>
      <c r="Q113" s="1039"/>
      <c r="R113" s="1039"/>
      <c r="S113" s="1039"/>
      <c r="T113" s="1039"/>
      <c r="U113" s="1039"/>
      <c r="V113" s="1039"/>
      <c r="W113" s="1039"/>
      <c r="X113" s="1039"/>
      <c r="Y113" s="1039"/>
      <c r="Z113" s="1039"/>
      <c r="AI113" s="1034"/>
      <c r="AJ113" s="1034"/>
      <c r="AK113" s="1034"/>
      <c r="AL113" s="1034"/>
      <c r="AM113" s="1034"/>
      <c r="AN113" s="1034"/>
      <c r="AO113" s="1034"/>
      <c r="CN113" s="753"/>
      <c r="CO113" s="753"/>
      <c r="CP113" s="753"/>
      <c r="CQ113" s="753"/>
      <c r="CR113" s="753"/>
      <c r="CS113" s="753"/>
      <c r="CT113" s="753"/>
      <c r="CU113" s="753"/>
      <c r="CV113" s="753"/>
      <c r="CW113" s="753"/>
      <c r="CX113" s="753"/>
      <c r="CY113" s="753"/>
      <c r="CZ113" s="753"/>
      <c r="DA113" s="753"/>
      <c r="DB113" s="753"/>
      <c r="DC113" s="753"/>
      <c r="DD113" s="753"/>
      <c r="DE113" s="753"/>
      <c r="DF113" s="753"/>
      <c r="DG113" s="753"/>
      <c r="DH113" s="753"/>
      <c r="DI113" s="753"/>
      <c r="DJ113" s="753"/>
      <c r="DK113" s="753"/>
      <c r="DL113" s="753"/>
      <c r="DM113" s="776"/>
    </row>
    <row r="114" spans="1:118" s="758" customFormat="1">
      <c r="A114" s="780"/>
      <c r="B114" s="780"/>
      <c r="C114" s="780"/>
      <c r="D114" s="780"/>
      <c r="E114" s="780"/>
      <c r="F114" s="780"/>
      <c r="G114" s="780"/>
      <c r="H114" s="788"/>
      <c r="I114" s="790"/>
      <c r="J114" s="1063"/>
      <c r="K114" s="1061"/>
      <c r="L114" s="1063"/>
      <c r="M114" s="1146"/>
      <c r="N114" s="1083"/>
      <c r="O114" s="1147"/>
      <c r="P114" s="1127"/>
      <c r="Q114" s="1039"/>
      <c r="R114" s="1039"/>
      <c r="S114" s="1039"/>
      <c r="T114" s="1039"/>
      <c r="U114" s="1039"/>
      <c r="V114" s="1039"/>
      <c r="W114" s="1039"/>
      <c r="X114" s="1039"/>
      <c r="Y114" s="1039"/>
      <c r="Z114" s="1039"/>
      <c r="AI114" s="1034"/>
      <c r="AJ114" s="1034"/>
      <c r="AK114" s="1034"/>
      <c r="AL114" s="1034"/>
      <c r="AM114" s="1034"/>
      <c r="AN114" s="1034"/>
      <c r="AO114" s="1034"/>
      <c r="CN114" s="753"/>
      <c r="CO114" s="753"/>
      <c r="CP114" s="753"/>
      <c r="CQ114" s="753"/>
      <c r="CR114" s="753"/>
      <c r="CS114" s="753"/>
      <c r="CT114" s="753"/>
      <c r="CU114" s="753"/>
      <c r="CV114" s="753"/>
      <c r="CW114" s="753"/>
      <c r="CX114" s="753"/>
      <c r="CY114" s="753"/>
      <c r="CZ114" s="753"/>
      <c r="DA114" s="753"/>
      <c r="DB114" s="753"/>
      <c r="DC114" s="753"/>
      <c r="DD114" s="753"/>
      <c r="DE114" s="753"/>
      <c r="DF114" s="753"/>
      <c r="DG114" s="753"/>
      <c r="DH114" s="753"/>
      <c r="DI114" s="753"/>
      <c r="DJ114" s="753"/>
      <c r="DK114" s="753"/>
      <c r="DL114" s="753"/>
      <c r="DM114" s="776"/>
    </row>
    <row r="115" spans="1:118" s="758" customFormat="1">
      <c r="A115" s="780"/>
      <c r="B115" s="780"/>
      <c r="C115" s="780"/>
      <c r="D115" s="780"/>
      <c r="E115" s="780"/>
      <c r="F115" s="780"/>
      <c r="G115" s="780"/>
      <c r="H115" s="788"/>
      <c r="I115" s="769"/>
      <c r="J115" s="1063"/>
      <c r="K115" s="1061"/>
      <c r="L115" s="1063"/>
      <c r="M115" s="1063"/>
      <c r="N115" s="1104"/>
      <c r="O115" s="1130"/>
      <c r="P115" s="1130"/>
      <c r="Q115" s="1039"/>
      <c r="R115" s="1039"/>
      <c r="S115" s="1039"/>
      <c r="T115" s="1039"/>
      <c r="U115" s="1039"/>
      <c r="V115" s="1039"/>
      <c r="W115" s="1039"/>
      <c r="X115" s="1039"/>
      <c r="Y115" s="1039"/>
      <c r="Z115" s="1039"/>
      <c r="AI115" s="1034"/>
      <c r="AJ115" s="1034"/>
      <c r="AK115" s="1034"/>
      <c r="AL115" s="1034"/>
      <c r="AM115" s="1034"/>
      <c r="AN115" s="1034"/>
      <c r="AO115" s="1034"/>
      <c r="CN115" s="753"/>
      <c r="CO115" s="753"/>
      <c r="CP115" s="753"/>
      <c r="CQ115" s="753"/>
      <c r="CR115" s="753"/>
      <c r="CS115" s="753"/>
      <c r="CT115" s="753"/>
      <c r="CU115" s="753"/>
      <c r="CV115" s="753"/>
      <c r="CW115" s="753"/>
      <c r="CX115" s="753"/>
      <c r="CY115" s="753"/>
      <c r="CZ115" s="753"/>
      <c r="DA115" s="753"/>
      <c r="DB115" s="753"/>
      <c r="DC115" s="753"/>
      <c r="DD115" s="753"/>
      <c r="DE115" s="753"/>
      <c r="DF115" s="753"/>
      <c r="DG115" s="753"/>
      <c r="DH115" s="753"/>
      <c r="DI115" s="753"/>
      <c r="DJ115" s="753"/>
      <c r="DK115" s="753"/>
      <c r="DL115" s="753"/>
      <c r="DM115" s="776"/>
    </row>
    <row r="116" spans="1:118" s="758" customFormat="1">
      <c r="A116" s="780"/>
      <c r="B116" s="780"/>
      <c r="C116" s="780"/>
      <c r="D116" s="780"/>
      <c r="E116" s="780"/>
      <c r="F116" s="780"/>
      <c r="G116" s="780"/>
      <c r="H116" s="788"/>
      <c r="I116" s="791"/>
      <c r="J116" s="1063"/>
      <c r="K116" s="1061"/>
      <c r="L116" s="1063"/>
      <c r="M116" s="1081"/>
      <c r="N116" s="1083"/>
      <c r="O116" s="1130"/>
      <c r="P116" s="1130"/>
      <c r="Q116" s="1039"/>
      <c r="R116" s="1039"/>
      <c r="S116" s="1039"/>
      <c r="T116" s="1039"/>
      <c r="U116" s="1039"/>
      <c r="V116" s="1039"/>
      <c r="W116" s="1039"/>
      <c r="X116" s="1039"/>
      <c r="Y116" s="1039"/>
      <c r="Z116" s="1039"/>
      <c r="AI116" s="1034"/>
      <c r="AJ116" s="1034"/>
      <c r="AK116" s="1034"/>
      <c r="AL116" s="1034"/>
      <c r="AM116" s="1034"/>
      <c r="AN116" s="1034"/>
      <c r="AO116" s="1034"/>
      <c r="CN116" s="753"/>
      <c r="CO116" s="753"/>
      <c r="CP116" s="753"/>
      <c r="CQ116" s="753"/>
      <c r="CR116" s="753"/>
      <c r="CS116" s="753"/>
      <c r="CT116" s="753"/>
      <c r="CU116" s="753"/>
      <c r="CV116" s="753"/>
      <c r="CW116" s="753"/>
      <c r="CX116" s="753"/>
      <c r="CY116" s="753"/>
      <c r="CZ116" s="753"/>
      <c r="DA116" s="753"/>
      <c r="DB116" s="753"/>
      <c r="DC116" s="753"/>
      <c r="DD116" s="753"/>
      <c r="DE116" s="753"/>
      <c r="DF116" s="753"/>
      <c r="DG116" s="753"/>
      <c r="DH116" s="753"/>
      <c r="DI116" s="753"/>
      <c r="DJ116" s="753"/>
      <c r="DK116" s="753"/>
      <c r="DL116" s="753"/>
      <c r="DM116" s="776"/>
      <c r="DN116" s="779"/>
    </row>
    <row r="117" spans="1:118" s="758" customFormat="1">
      <c r="A117" s="792"/>
      <c r="B117" s="780"/>
      <c r="C117" s="780"/>
      <c r="D117" s="780"/>
      <c r="E117" s="780"/>
      <c r="F117" s="780"/>
      <c r="G117" s="780"/>
      <c r="H117" s="780"/>
      <c r="I117" s="780"/>
      <c r="J117" s="1063"/>
      <c r="K117" s="1061"/>
      <c r="L117" s="1063"/>
      <c r="M117" s="1148"/>
      <c r="N117" s="1083"/>
      <c r="O117" s="1130"/>
      <c r="P117" s="1130"/>
      <c r="Q117" s="1039"/>
      <c r="R117" s="1039"/>
      <c r="S117" s="1039"/>
      <c r="T117" s="1039"/>
      <c r="U117" s="1039"/>
      <c r="V117" s="1039"/>
      <c r="W117" s="1039"/>
      <c r="X117" s="1039"/>
      <c r="Y117" s="1039"/>
      <c r="Z117" s="1039"/>
      <c r="AI117" s="1034"/>
      <c r="AJ117" s="1034"/>
      <c r="AK117" s="1034"/>
      <c r="AL117" s="1034"/>
      <c r="AM117" s="1034"/>
      <c r="AN117" s="1034"/>
      <c r="AO117" s="1034"/>
      <c r="CN117" s="753"/>
      <c r="CO117" s="753"/>
      <c r="CP117" s="753"/>
      <c r="CQ117" s="753"/>
      <c r="CR117" s="753"/>
      <c r="CS117" s="753"/>
      <c r="CT117" s="753"/>
      <c r="CU117" s="753"/>
      <c r="CV117" s="753"/>
      <c r="CW117" s="753"/>
      <c r="CX117" s="753"/>
      <c r="CY117" s="753"/>
      <c r="CZ117" s="753"/>
      <c r="DA117" s="753"/>
      <c r="DB117" s="753"/>
      <c r="DC117" s="753"/>
      <c r="DD117" s="753"/>
      <c r="DE117" s="753"/>
      <c r="DF117" s="753"/>
      <c r="DG117" s="753"/>
      <c r="DH117" s="753"/>
      <c r="DI117" s="753"/>
      <c r="DJ117" s="753"/>
      <c r="DK117" s="753"/>
      <c r="DL117" s="753"/>
      <c r="DM117" s="776"/>
    </row>
    <row r="118" spans="1:118" s="758" customFormat="1" ht="15.75">
      <c r="A118" s="794"/>
      <c r="B118" s="780"/>
      <c r="C118" s="780"/>
      <c r="D118" s="780"/>
      <c r="E118" s="780"/>
      <c r="F118" s="780"/>
      <c r="G118" s="780"/>
      <c r="H118" s="780"/>
      <c r="I118" s="780"/>
      <c r="J118" s="1063"/>
      <c r="K118" s="1061"/>
      <c r="L118" s="1063"/>
      <c r="M118" s="1148"/>
      <c r="N118" s="1083"/>
      <c r="O118" s="1130"/>
      <c r="P118" s="1130"/>
      <c r="Q118" s="1039"/>
      <c r="R118" s="1039"/>
      <c r="S118" s="1039"/>
      <c r="T118" s="1039"/>
      <c r="U118" s="1039"/>
      <c r="V118" s="1039"/>
      <c r="W118" s="1039"/>
      <c r="X118" s="1039"/>
      <c r="Y118" s="1039"/>
      <c r="Z118" s="1039"/>
      <c r="AI118" s="1034"/>
      <c r="AJ118" s="1034"/>
      <c r="AK118" s="1034"/>
      <c r="AL118" s="1034"/>
      <c r="AM118" s="1034"/>
      <c r="AN118" s="1034"/>
      <c r="AO118" s="1034"/>
      <c r="CN118" s="753"/>
      <c r="CO118" s="753"/>
      <c r="CP118" s="753"/>
      <c r="CQ118" s="753"/>
      <c r="CR118" s="753"/>
      <c r="CS118" s="753"/>
      <c r="CT118" s="753"/>
      <c r="CU118" s="753"/>
      <c r="CV118" s="753"/>
      <c r="CW118" s="753"/>
      <c r="CX118" s="753"/>
      <c r="CY118" s="753"/>
      <c r="CZ118" s="753"/>
      <c r="DA118" s="753"/>
      <c r="DB118" s="753"/>
      <c r="DC118" s="753"/>
      <c r="DD118" s="753"/>
      <c r="DE118" s="753"/>
      <c r="DF118" s="753"/>
      <c r="DG118" s="753"/>
      <c r="DH118" s="753"/>
      <c r="DI118" s="753"/>
      <c r="DJ118" s="753"/>
      <c r="DK118" s="753"/>
      <c r="DL118" s="753"/>
      <c r="DM118" s="776"/>
    </row>
    <row r="119" spans="1:118" s="758" customFormat="1" ht="15.75">
      <c r="A119" s="794"/>
      <c r="B119" s="780"/>
      <c r="C119" s="780"/>
      <c r="D119" s="780"/>
      <c r="E119" s="780"/>
      <c r="F119" s="780"/>
      <c r="G119" s="780"/>
      <c r="H119" s="780"/>
      <c r="I119" s="780"/>
      <c r="J119" s="1063"/>
      <c r="K119" s="1061"/>
      <c r="L119" s="1063"/>
      <c r="M119" s="1081"/>
      <c r="N119" s="1083"/>
      <c r="O119" s="1130"/>
      <c r="P119" s="1130"/>
      <c r="Q119" s="1039"/>
      <c r="R119" s="1039"/>
      <c r="S119" s="1039"/>
      <c r="T119" s="1039"/>
      <c r="U119" s="1039"/>
      <c r="V119" s="1039"/>
      <c r="W119" s="1039"/>
      <c r="X119" s="1039"/>
      <c r="Y119" s="1039"/>
      <c r="Z119" s="1039"/>
      <c r="AI119" s="1034"/>
      <c r="AJ119" s="1034"/>
      <c r="AK119" s="1034"/>
      <c r="AL119" s="1034"/>
      <c r="AM119" s="1034"/>
      <c r="AN119" s="1034"/>
      <c r="AO119" s="1034"/>
      <c r="CN119" s="753"/>
      <c r="CO119" s="753"/>
      <c r="CP119" s="753"/>
      <c r="CQ119" s="753"/>
      <c r="CR119" s="753"/>
      <c r="CS119" s="753"/>
      <c r="CT119" s="753"/>
      <c r="CU119" s="753"/>
      <c r="CV119" s="753"/>
      <c r="CW119" s="753"/>
      <c r="CX119" s="753"/>
      <c r="CY119" s="753"/>
      <c r="CZ119" s="753"/>
      <c r="DA119" s="753"/>
      <c r="DB119" s="753"/>
      <c r="DC119" s="753"/>
      <c r="DD119" s="753"/>
      <c r="DE119" s="753"/>
      <c r="DF119" s="753"/>
      <c r="DG119" s="753"/>
      <c r="DH119" s="753"/>
      <c r="DI119" s="753"/>
      <c r="DJ119" s="753"/>
      <c r="DK119" s="753"/>
      <c r="DL119" s="753"/>
      <c r="DM119" s="776"/>
    </row>
    <row r="120" spans="1:118" s="758" customFormat="1" ht="16.5">
      <c r="A120" s="780"/>
      <c r="B120" s="780"/>
      <c r="C120" s="780"/>
      <c r="D120" s="780"/>
      <c r="E120" s="780"/>
      <c r="F120" s="780"/>
      <c r="G120" s="780"/>
      <c r="H120" s="795"/>
      <c r="I120" s="788"/>
      <c r="J120" s="1063"/>
      <c r="K120" s="1061"/>
      <c r="L120" s="1063"/>
      <c r="M120" s="1081"/>
      <c r="N120" s="1083"/>
      <c r="O120" s="1130"/>
      <c r="P120" s="1130"/>
      <c r="Q120" s="1039"/>
      <c r="R120" s="1039"/>
      <c r="S120" s="1039"/>
      <c r="T120" s="1039"/>
      <c r="U120" s="1039"/>
      <c r="V120" s="1039"/>
      <c r="W120" s="1039"/>
      <c r="X120" s="1039"/>
      <c r="Y120" s="1039"/>
      <c r="Z120" s="1039"/>
      <c r="AI120" s="1034"/>
      <c r="AJ120" s="1034"/>
      <c r="AK120" s="1034"/>
      <c r="AL120" s="1034"/>
      <c r="AM120" s="1034"/>
      <c r="AN120" s="1034"/>
      <c r="AO120" s="1034"/>
      <c r="CN120" s="753"/>
      <c r="CO120" s="753"/>
      <c r="CP120" s="753"/>
      <c r="CQ120" s="753"/>
      <c r="CR120" s="753"/>
      <c r="CS120" s="753"/>
      <c r="CT120" s="753"/>
      <c r="CU120" s="753"/>
      <c r="CV120" s="753"/>
      <c r="CW120" s="753"/>
      <c r="CX120" s="753"/>
      <c r="CY120" s="753"/>
      <c r="CZ120" s="753"/>
      <c r="DA120" s="753"/>
      <c r="DB120" s="753"/>
      <c r="DC120" s="753"/>
      <c r="DD120" s="753"/>
      <c r="DE120" s="753"/>
      <c r="DF120" s="753"/>
      <c r="DG120" s="753"/>
      <c r="DH120" s="753"/>
      <c r="DI120" s="753"/>
      <c r="DJ120" s="753"/>
      <c r="DK120" s="753"/>
      <c r="DL120" s="753"/>
      <c r="DM120" s="776"/>
    </row>
    <row r="121" spans="1:118" s="758" customFormat="1">
      <c r="A121" s="796"/>
      <c r="B121" s="780"/>
      <c r="C121" s="780"/>
      <c r="D121" s="780"/>
      <c r="E121" s="780"/>
      <c r="F121" s="780"/>
      <c r="G121" s="780"/>
      <c r="H121" s="797"/>
      <c r="I121" s="787"/>
      <c r="J121" s="1063"/>
      <c r="K121" s="1061"/>
      <c r="L121" s="1063"/>
      <c r="M121" s="1081"/>
      <c r="N121" s="1083"/>
      <c r="O121" s="1130"/>
      <c r="P121" s="1063"/>
      <c r="Q121" s="1039"/>
      <c r="R121" s="1039"/>
      <c r="S121" s="1039"/>
      <c r="T121" s="1039"/>
      <c r="U121" s="1039"/>
      <c r="V121" s="1039"/>
      <c r="W121" s="1039"/>
      <c r="X121" s="1039"/>
      <c r="Y121" s="1039"/>
      <c r="Z121" s="1039"/>
      <c r="AI121" s="1034"/>
      <c r="AJ121" s="1034"/>
      <c r="AK121" s="1034"/>
      <c r="AL121" s="1034"/>
      <c r="AM121" s="1034"/>
      <c r="AN121" s="1034"/>
      <c r="AO121" s="1034"/>
      <c r="CN121" s="753"/>
      <c r="CO121" s="753"/>
      <c r="CP121" s="753"/>
      <c r="CQ121" s="753"/>
      <c r="CR121" s="753"/>
      <c r="CS121" s="753"/>
      <c r="CT121" s="753"/>
      <c r="CU121" s="753"/>
      <c r="CV121" s="753"/>
      <c r="CW121" s="753"/>
      <c r="CX121" s="753"/>
      <c r="CY121" s="753"/>
      <c r="CZ121" s="753"/>
      <c r="DA121" s="753"/>
      <c r="DB121" s="753"/>
      <c r="DC121" s="753"/>
      <c r="DD121" s="753"/>
      <c r="DE121" s="753"/>
      <c r="DF121" s="753"/>
      <c r="DG121" s="753"/>
      <c r="DH121" s="753"/>
      <c r="DI121" s="753"/>
      <c r="DJ121" s="753"/>
      <c r="DK121" s="753"/>
      <c r="DL121" s="753"/>
      <c r="DM121" s="776"/>
    </row>
    <row r="122" spans="1:118" s="758" customFormat="1">
      <c r="A122" s="798"/>
      <c r="B122" s="799"/>
      <c r="C122" s="780"/>
      <c r="D122" s="780"/>
      <c r="E122" s="780"/>
      <c r="F122" s="780"/>
      <c r="G122" s="780"/>
      <c r="H122" s="797"/>
      <c r="I122" s="787"/>
      <c r="J122" s="1063"/>
      <c r="K122" s="1061"/>
      <c r="L122" s="1063"/>
      <c r="M122" s="1081"/>
      <c r="N122" s="1083"/>
      <c r="O122" s="1130"/>
      <c r="P122" s="1130"/>
      <c r="Q122" s="1039"/>
      <c r="R122" s="1039"/>
      <c r="S122" s="1039"/>
      <c r="T122" s="1039"/>
      <c r="U122" s="1039"/>
      <c r="V122" s="1039"/>
      <c r="W122" s="1039"/>
      <c r="X122" s="1039"/>
      <c r="Y122" s="1039"/>
      <c r="Z122" s="1039"/>
      <c r="AI122" s="1034"/>
      <c r="AJ122" s="1034"/>
      <c r="AK122" s="1034"/>
      <c r="AL122" s="1034"/>
      <c r="AM122" s="1034"/>
      <c r="AN122" s="1034"/>
      <c r="AO122" s="1034"/>
      <c r="CN122" s="753"/>
      <c r="CO122" s="753"/>
      <c r="CP122" s="753"/>
      <c r="CQ122" s="753"/>
      <c r="CR122" s="753"/>
      <c r="CS122" s="753"/>
      <c r="CT122" s="753"/>
      <c r="CU122" s="753"/>
      <c r="CV122" s="753"/>
      <c r="CW122" s="753"/>
      <c r="CX122" s="753"/>
      <c r="CY122" s="753"/>
      <c r="CZ122" s="753"/>
      <c r="DA122" s="753"/>
      <c r="DB122" s="753"/>
      <c r="DC122" s="753"/>
      <c r="DD122" s="753"/>
      <c r="DE122" s="753"/>
      <c r="DF122" s="753"/>
      <c r="DG122" s="753"/>
      <c r="DH122" s="753"/>
      <c r="DI122" s="753"/>
      <c r="DJ122" s="753"/>
      <c r="DK122" s="753"/>
      <c r="DL122" s="753"/>
      <c r="DM122" s="776"/>
    </row>
    <row r="123" spans="1:118" s="758" customFormat="1" ht="16.5">
      <c r="A123" s="794"/>
      <c r="B123" s="799"/>
      <c r="C123" s="795"/>
      <c r="D123" s="780"/>
      <c r="E123" s="780"/>
      <c r="F123" s="780"/>
      <c r="G123" s="780"/>
      <c r="H123" s="780"/>
      <c r="I123" s="764"/>
      <c r="J123" s="1063"/>
      <c r="K123" s="1061"/>
      <c r="L123" s="1063"/>
      <c r="M123" s="1127"/>
      <c r="N123" s="1039"/>
      <c r="O123" s="1039"/>
      <c r="P123" s="1130"/>
      <c r="Q123" s="1039"/>
      <c r="R123" s="1039"/>
      <c r="S123" s="1039"/>
      <c r="T123" s="1039"/>
      <c r="U123" s="1039"/>
      <c r="V123" s="1039"/>
      <c r="W123" s="1039"/>
      <c r="X123" s="1039"/>
      <c r="Y123" s="1039"/>
      <c r="Z123" s="1039"/>
      <c r="AI123" s="1034"/>
      <c r="AJ123" s="1034"/>
      <c r="AK123" s="1034"/>
      <c r="AL123" s="1034"/>
      <c r="AM123" s="1034"/>
      <c r="AN123" s="1034"/>
      <c r="AO123" s="1034"/>
      <c r="CN123" s="753"/>
      <c r="CO123" s="753"/>
      <c r="CP123" s="753"/>
      <c r="CQ123" s="753"/>
      <c r="CR123" s="753"/>
      <c r="CS123" s="753"/>
      <c r="CT123" s="753"/>
      <c r="CU123" s="753"/>
      <c r="CV123" s="753"/>
      <c r="CW123" s="753"/>
      <c r="CX123" s="753"/>
      <c r="CY123" s="753"/>
      <c r="CZ123" s="753"/>
      <c r="DA123" s="753"/>
      <c r="DB123" s="753"/>
      <c r="DC123" s="753"/>
      <c r="DD123" s="753"/>
      <c r="DE123" s="753"/>
      <c r="DF123" s="753"/>
      <c r="DG123" s="753"/>
      <c r="DH123" s="753"/>
      <c r="DI123" s="753"/>
      <c r="DJ123" s="753"/>
      <c r="DK123" s="753"/>
      <c r="DL123" s="753"/>
      <c r="DM123" s="776"/>
    </row>
    <row r="124" spans="1:118" s="758" customFormat="1">
      <c r="A124" s="798"/>
      <c r="B124" s="799"/>
      <c r="C124" s="780"/>
      <c r="D124" s="780"/>
      <c r="E124" s="780"/>
      <c r="F124" s="780"/>
      <c r="G124" s="780"/>
      <c r="H124" s="773"/>
      <c r="I124" s="764"/>
      <c r="J124" s="1063"/>
      <c r="K124" s="1061"/>
      <c r="L124" s="1063"/>
      <c r="M124" s="1081"/>
      <c r="N124" s="1076"/>
      <c r="O124" s="1130"/>
      <c r="P124" s="1130"/>
      <c r="Q124" s="1039"/>
      <c r="R124" s="1039"/>
      <c r="S124" s="1039"/>
      <c r="T124" s="1039"/>
      <c r="U124" s="1039"/>
      <c r="V124" s="1039"/>
      <c r="W124" s="1039"/>
      <c r="X124" s="1039"/>
      <c r="Y124" s="1039"/>
      <c r="Z124" s="1039"/>
      <c r="AI124" s="1034"/>
      <c r="AJ124" s="1034"/>
      <c r="AK124" s="1034"/>
      <c r="AL124" s="1034"/>
      <c r="AM124" s="1034"/>
      <c r="AN124" s="1034"/>
      <c r="AO124" s="1034"/>
      <c r="CN124" s="753"/>
      <c r="CO124" s="753"/>
      <c r="CP124" s="753"/>
      <c r="CQ124" s="753"/>
      <c r="CR124" s="753"/>
      <c r="CS124" s="753"/>
      <c r="CT124" s="753"/>
      <c r="CU124" s="753"/>
      <c r="CV124" s="753"/>
      <c r="CW124" s="753"/>
      <c r="CX124" s="753"/>
      <c r="CY124" s="753"/>
      <c r="CZ124" s="753"/>
      <c r="DA124" s="753"/>
      <c r="DB124" s="753"/>
      <c r="DC124" s="753"/>
      <c r="DD124" s="753"/>
      <c r="DE124" s="753"/>
      <c r="DF124" s="753"/>
      <c r="DG124" s="753"/>
      <c r="DH124" s="753"/>
      <c r="DI124" s="753"/>
      <c r="DJ124" s="753"/>
      <c r="DK124" s="753"/>
      <c r="DL124" s="753"/>
      <c r="DM124" s="776"/>
    </row>
    <row r="125" spans="1:118" s="758" customFormat="1">
      <c r="A125" s="798"/>
      <c r="B125" s="799"/>
      <c r="C125" s="780"/>
      <c r="D125" s="780"/>
      <c r="E125" s="780"/>
      <c r="F125" s="780"/>
      <c r="G125" s="780"/>
      <c r="H125" s="773"/>
      <c r="I125" s="764"/>
      <c r="J125" s="1063"/>
      <c r="K125" s="1061"/>
      <c r="L125" s="1063"/>
      <c r="M125" s="1081"/>
      <c r="N125" s="1083"/>
      <c r="O125" s="1130"/>
      <c r="P125" s="1130"/>
      <c r="Q125" s="1039"/>
      <c r="R125" s="1039"/>
      <c r="S125" s="1039"/>
      <c r="T125" s="1039"/>
      <c r="U125" s="1039"/>
      <c r="V125" s="1039"/>
      <c r="W125" s="1039"/>
      <c r="X125" s="1039"/>
      <c r="Y125" s="1039"/>
      <c r="Z125" s="1039"/>
      <c r="AI125" s="1034"/>
      <c r="AJ125" s="1034"/>
      <c r="AK125" s="1034"/>
      <c r="AL125" s="1034"/>
      <c r="AM125" s="1034"/>
      <c r="AN125" s="1034"/>
      <c r="AO125" s="1034"/>
      <c r="CN125" s="753"/>
      <c r="CO125" s="753"/>
      <c r="CP125" s="753"/>
      <c r="CQ125" s="753"/>
      <c r="CR125" s="753"/>
      <c r="CS125" s="753"/>
      <c r="CT125" s="753"/>
      <c r="CU125" s="753"/>
      <c r="CV125" s="753"/>
      <c r="CW125" s="753"/>
      <c r="CX125" s="753"/>
      <c r="CY125" s="753"/>
      <c r="CZ125" s="753"/>
      <c r="DA125" s="753"/>
      <c r="DB125" s="753"/>
      <c r="DC125" s="753"/>
      <c r="DD125" s="753"/>
      <c r="DE125" s="753"/>
      <c r="DF125" s="753"/>
      <c r="DG125" s="753"/>
      <c r="DH125" s="753"/>
      <c r="DI125" s="753"/>
      <c r="DJ125" s="753"/>
      <c r="DK125" s="753"/>
      <c r="DL125" s="753"/>
      <c r="DM125" s="776"/>
    </row>
    <row r="126" spans="1:118" s="758" customFormat="1" ht="15.75">
      <c r="A126" s="794"/>
      <c r="B126" s="800"/>
      <c r="C126" s="780"/>
      <c r="D126" s="780"/>
      <c r="E126" s="780"/>
      <c r="F126" s="780"/>
      <c r="G126" s="780"/>
      <c r="H126" s="773"/>
      <c r="I126" s="764"/>
      <c r="J126" s="1063"/>
      <c r="K126" s="1063"/>
      <c r="L126" s="1063"/>
      <c r="M126" s="782"/>
      <c r="N126" s="1137"/>
      <c r="O126" s="1130"/>
      <c r="P126" s="783"/>
      <c r="Q126" s="1039"/>
      <c r="R126" s="1039"/>
      <c r="S126" s="1039"/>
      <c r="T126" s="1039"/>
      <c r="U126" s="1039"/>
      <c r="V126" s="1039"/>
      <c r="W126" s="1039"/>
      <c r="X126" s="1039"/>
      <c r="Y126" s="1039"/>
      <c r="Z126" s="1039"/>
      <c r="AI126" s="1034"/>
      <c r="AJ126" s="1034"/>
      <c r="AK126" s="1034"/>
      <c r="AL126" s="1034"/>
      <c r="AM126" s="1034"/>
      <c r="AN126" s="1034"/>
      <c r="AO126" s="1034"/>
      <c r="CN126" s="753"/>
      <c r="CO126" s="753"/>
      <c r="CP126" s="753"/>
      <c r="CQ126" s="753"/>
      <c r="CR126" s="753"/>
      <c r="CS126" s="753"/>
      <c r="CT126" s="753"/>
      <c r="CU126" s="753"/>
      <c r="CV126" s="753"/>
      <c r="CW126" s="753"/>
      <c r="CX126" s="753"/>
      <c r="CY126" s="753"/>
      <c r="CZ126" s="753"/>
      <c r="DA126" s="753"/>
      <c r="DB126" s="753"/>
      <c r="DC126" s="753"/>
      <c r="DD126" s="753"/>
      <c r="DE126" s="753"/>
      <c r="DF126" s="753"/>
      <c r="DG126" s="753"/>
      <c r="DH126" s="753"/>
      <c r="DI126" s="753"/>
      <c r="DJ126" s="753"/>
      <c r="DK126" s="753"/>
      <c r="DL126" s="753"/>
      <c r="DM126" s="776"/>
    </row>
    <row r="127" spans="1:118" s="758" customFormat="1" ht="15.75">
      <c r="A127" s="794"/>
      <c r="B127" s="800"/>
      <c r="C127" s="780"/>
      <c r="D127" s="780"/>
      <c r="E127" s="780"/>
      <c r="F127" s="780"/>
      <c r="G127" s="780"/>
      <c r="H127" s="773"/>
      <c r="I127" s="764"/>
      <c r="J127" s="1063"/>
      <c r="K127" s="1063"/>
      <c r="L127" s="1063"/>
      <c r="M127" s="782"/>
      <c r="N127" s="1137"/>
      <c r="O127" s="1130"/>
      <c r="P127" s="783"/>
      <c r="Q127" s="1039"/>
      <c r="R127" s="1039"/>
      <c r="S127" s="1039"/>
      <c r="T127" s="1039"/>
      <c r="U127" s="1039"/>
      <c r="V127" s="1039"/>
      <c r="W127" s="1039"/>
      <c r="X127" s="1039"/>
      <c r="Y127" s="1039"/>
      <c r="Z127" s="1039"/>
      <c r="AI127" s="1034"/>
      <c r="AJ127" s="1034"/>
      <c r="AK127" s="1034"/>
      <c r="AL127" s="1034"/>
      <c r="AM127" s="1034"/>
      <c r="AN127" s="1034"/>
      <c r="AO127" s="1034"/>
      <c r="CN127" s="753"/>
      <c r="CO127" s="753"/>
      <c r="CP127" s="753"/>
      <c r="CQ127" s="753"/>
      <c r="CR127" s="753"/>
      <c r="CS127" s="753"/>
      <c r="CT127" s="753"/>
      <c r="CU127" s="753"/>
      <c r="CV127" s="753"/>
      <c r="CW127" s="753"/>
      <c r="CX127" s="753"/>
      <c r="CY127" s="753"/>
      <c r="CZ127" s="753"/>
      <c r="DA127" s="753"/>
      <c r="DB127" s="753"/>
      <c r="DC127" s="753"/>
      <c r="DD127" s="753"/>
      <c r="DE127" s="753"/>
      <c r="DF127" s="753"/>
      <c r="DG127" s="753"/>
      <c r="DH127" s="753"/>
      <c r="DI127" s="753"/>
      <c r="DJ127" s="753"/>
      <c r="DK127" s="753"/>
      <c r="DL127" s="753"/>
      <c r="DM127" s="776"/>
    </row>
    <row r="128" spans="1:118" s="758" customFormat="1">
      <c r="A128" s="780"/>
      <c r="B128" s="780"/>
      <c r="C128" s="780"/>
      <c r="D128" s="780"/>
      <c r="E128" s="780"/>
      <c r="F128" s="780"/>
      <c r="G128" s="780"/>
      <c r="H128" s="780"/>
      <c r="I128" s="788"/>
      <c r="J128" s="1063"/>
      <c r="K128" s="1063"/>
      <c r="L128" s="1063"/>
      <c r="M128" s="1127"/>
      <c r="N128" s="1039"/>
      <c r="O128" s="1039"/>
      <c r="P128" s="1130"/>
      <c r="Q128" s="1039"/>
      <c r="R128" s="1039"/>
      <c r="S128" s="1039"/>
      <c r="T128" s="1039"/>
      <c r="U128" s="1039"/>
      <c r="V128" s="1039"/>
      <c r="W128" s="1039"/>
      <c r="X128" s="1039"/>
      <c r="Y128" s="1039"/>
      <c r="Z128" s="1039"/>
      <c r="AI128" s="1034"/>
      <c r="AJ128" s="1034"/>
      <c r="AK128" s="1034"/>
      <c r="AL128" s="1034"/>
      <c r="AM128" s="1034"/>
      <c r="AN128" s="1034"/>
      <c r="AO128" s="1034"/>
      <c r="CN128" s="753"/>
      <c r="CO128" s="753"/>
      <c r="CP128" s="753"/>
      <c r="CQ128" s="753"/>
      <c r="CR128" s="753"/>
      <c r="CS128" s="753"/>
      <c r="CT128" s="753"/>
      <c r="CU128" s="753"/>
      <c r="CV128" s="753"/>
      <c r="CW128" s="753"/>
      <c r="CX128" s="753"/>
      <c r="CY128" s="753"/>
      <c r="CZ128" s="753"/>
      <c r="DA128" s="753"/>
      <c r="DB128" s="753"/>
      <c r="DC128" s="753"/>
      <c r="DD128" s="753"/>
      <c r="DE128" s="753"/>
      <c r="DF128" s="753"/>
      <c r="DG128" s="753"/>
      <c r="DH128" s="753"/>
      <c r="DI128" s="753"/>
      <c r="DJ128" s="753"/>
      <c r="DK128" s="753"/>
      <c r="DL128" s="753"/>
      <c r="DM128" s="776"/>
    </row>
    <row r="129" spans="1:118" s="758" customFormat="1">
      <c r="A129" s="780"/>
      <c r="B129" s="780"/>
      <c r="C129" s="780"/>
      <c r="D129" s="780"/>
      <c r="E129" s="780"/>
      <c r="F129" s="780"/>
      <c r="G129" s="780"/>
      <c r="H129" s="797"/>
      <c r="I129" s="787"/>
      <c r="J129" s="1063"/>
      <c r="K129" s="1063"/>
      <c r="L129" s="1063"/>
      <c r="M129" s="1081"/>
      <c r="N129" s="1083"/>
      <c r="O129" s="1130"/>
      <c r="P129" s="1130"/>
      <c r="Q129" s="1039"/>
      <c r="R129" s="1039"/>
      <c r="S129" s="1039"/>
      <c r="T129" s="1039"/>
      <c r="U129" s="1039"/>
      <c r="V129" s="1039"/>
      <c r="W129" s="1039"/>
      <c r="X129" s="1039"/>
      <c r="Y129" s="1039"/>
      <c r="Z129" s="1039"/>
      <c r="AI129" s="1034"/>
      <c r="AJ129" s="1034"/>
      <c r="AK129" s="1034"/>
      <c r="AL129" s="1034"/>
      <c r="AM129" s="1034"/>
      <c r="AN129" s="1034"/>
      <c r="AO129" s="1034"/>
      <c r="CN129" s="753"/>
      <c r="CO129" s="753"/>
      <c r="CP129" s="753"/>
      <c r="CQ129" s="753"/>
      <c r="CR129" s="753"/>
      <c r="CS129" s="753"/>
      <c r="CT129" s="753"/>
      <c r="CU129" s="753"/>
      <c r="CV129" s="753"/>
      <c r="CW129" s="753"/>
      <c r="CX129" s="753"/>
      <c r="CY129" s="753"/>
      <c r="CZ129" s="753"/>
      <c r="DA129" s="753"/>
      <c r="DB129" s="753"/>
      <c r="DC129" s="753"/>
      <c r="DD129" s="753"/>
      <c r="DE129" s="753"/>
      <c r="DF129" s="753"/>
      <c r="DG129" s="753"/>
      <c r="DH129" s="753"/>
      <c r="DI129" s="753"/>
      <c r="DJ129" s="753"/>
      <c r="DK129" s="753"/>
      <c r="DL129" s="753"/>
      <c r="DM129" s="776"/>
    </row>
    <row r="130" spans="1:118" s="758" customFormat="1">
      <c r="A130" s="796"/>
      <c r="B130" s="780"/>
      <c r="C130" s="780"/>
      <c r="D130" s="780"/>
      <c r="E130" s="780"/>
      <c r="F130" s="780"/>
      <c r="G130" s="780"/>
      <c r="H130" s="797"/>
      <c r="I130" s="787"/>
      <c r="J130" s="1063"/>
      <c r="K130" s="1063"/>
      <c r="L130" s="1063"/>
      <c r="M130" s="1081"/>
      <c r="N130" s="1083"/>
      <c r="O130" s="1130"/>
      <c r="P130" s="1130"/>
      <c r="Q130" s="1039"/>
      <c r="R130" s="1039"/>
      <c r="S130" s="1039"/>
      <c r="T130" s="1039"/>
      <c r="U130" s="1039"/>
      <c r="V130" s="1039"/>
      <c r="W130" s="1039"/>
      <c r="X130" s="1039"/>
      <c r="Y130" s="1039"/>
      <c r="Z130" s="1039"/>
      <c r="AI130" s="1034"/>
      <c r="AJ130" s="1034"/>
      <c r="AK130" s="1034"/>
      <c r="AL130" s="1034"/>
      <c r="AM130" s="1034"/>
      <c r="AN130" s="1034"/>
      <c r="AO130" s="1034"/>
      <c r="CN130" s="753"/>
      <c r="CO130" s="753"/>
      <c r="CP130" s="753"/>
      <c r="CQ130" s="753"/>
      <c r="CR130" s="753"/>
      <c r="CS130" s="753"/>
      <c r="CT130" s="753"/>
      <c r="CU130" s="753"/>
      <c r="CV130" s="753"/>
      <c r="CW130" s="753"/>
      <c r="CX130" s="753"/>
      <c r="CY130" s="753"/>
      <c r="CZ130" s="753"/>
      <c r="DA130" s="753"/>
      <c r="DB130" s="753"/>
      <c r="DC130" s="753"/>
      <c r="DD130" s="753"/>
      <c r="DE130" s="753"/>
      <c r="DF130" s="753"/>
      <c r="DG130" s="753"/>
      <c r="DH130" s="753"/>
      <c r="DI130" s="753"/>
      <c r="DJ130" s="753"/>
      <c r="DK130" s="753"/>
      <c r="DL130" s="753"/>
      <c r="DM130" s="776"/>
    </row>
    <row r="131" spans="1:118" s="758" customFormat="1">
      <c r="A131" s="798"/>
      <c r="B131" s="799"/>
      <c r="C131" s="780"/>
      <c r="D131" s="780"/>
      <c r="E131" s="780"/>
      <c r="F131" s="780"/>
      <c r="G131" s="773"/>
      <c r="H131" s="801"/>
      <c r="I131" s="764"/>
      <c r="J131" s="1063"/>
      <c r="K131" s="1063"/>
      <c r="L131" s="1063"/>
      <c r="M131" s="1127"/>
      <c r="N131" s="1039"/>
      <c r="O131" s="1039"/>
      <c r="P131" s="1130"/>
      <c r="Q131" s="1039"/>
      <c r="R131" s="1039"/>
      <c r="S131" s="1039"/>
      <c r="T131" s="1039"/>
      <c r="U131" s="1039"/>
      <c r="V131" s="1039"/>
      <c r="W131" s="1039"/>
      <c r="X131" s="1039"/>
      <c r="Y131" s="1039"/>
      <c r="Z131" s="1039"/>
      <c r="AI131" s="1034"/>
      <c r="AJ131" s="1034"/>
      <c r="AK131" s="1034"/>
      <c r="AL131" s="1034"/>
      <c r="AM131" s="1034"/>
      <c r="AN131" s="1034"/>
      <c r="AO131" s="1034"/>
      <c r="CN131" s="753"/>
      <c r="CO131" s="753"/>
      <c r="CP131" s="753"/>
      <c r="CQ131" s="753"/>
      <c r="CR131" s="753"/>
      <c r="CS131" s="753"/>
      <c r="CT131" s="753"/>
      <c r="CU131" s="753"/>
      <c r="CV131" s="753"/>
      <c r="CW131" s="753"/>
      <c r="CX131" s="753"/>
      <c r="CY131" s="753"/>
      <c r="CZ131" s="753"/>
      <c r="DA131" s="753"/>
      <c r="DB131" s="753"/>
      <c r="DC131" s="753"/>
      <c r="DD131" s="753"/>
      <c r="DE131" s="753"/>
      <c r="DF131" s="753"/>
      <c r="DG131" s="753"/>
      <c r="DH131" s="753"/>
      <c r="DI131" s="753"/>
      <c r="DJ131" s="753"/>
      <c r="DK131" s="753"/>
      <c r="DL131" s="753"/>
      <c r="DM131" s="776"/>
    </row>
    <row r="132" spans="1:118" s="758" customFormat="1" ht="16.5">
      <c r="A132" s="794"/>
      <c r="B132" s="799"/>
      <c r="C132" s="795"/>
      <c r="D132" s="780"/>
      <c r="E132" s="780"/>
      <c r="F132" s="773"/>
      <c r="G132" s="780"/>
      <c r="H132" s="780"/>
      <c r="I132" s="788"/>
      <c r="J132" s="1063"/>
      <c r="K132" s="1063"/>
      <c r="L132" s="1063"/>
      <c r="M132" s="1081"/>
      <c r="N132" s="1083"/>
      <c r="O132" s="1130"/>
      <c r="P132" s="1130"/>
      <c r="Q132" s="1039"/>
      <c r="R132" s="1039"/>
      <c r="S132" s="1039"/>
      <c r="T132" s="1039"/>
      <c r="U132" s="1039"/>
      <c r="V132" s="1039"/>
      <c r="W132" s="1039"/>
      <c r="X132" s="1039"/>
      <c r="Y132" s="1039"/>
      <c r="Z132" s="1039"/>
      <c r="AI132" s="1034"/>
      <c r="AJ132" s="1034"/>
      <c r="AK132" s="1034"/>
      <c r="AL132" s="1034"/>
      <c r="AM132" s="1034"/>
      <c r="AN132" s="1034"/>
      <c r="AO132" s="1034"/>
      <c r="CN132" s="753"/>
      <c r="CO132" s="753"/>
      <c r="CP132" s="753"/>
      <c r="CQ132" s="753"/>
      <c r="CR132" s="753"/>
      <c r="CS132" s="753"/>
      <c r="CT132" s="753"/>
      <c r="CU132" s="753"/>
      <c r="CV132" s="753"/>
      <c r="CW132" s="753"/>
      <c r="CX132" s="753"/>
      <c r="CY132" s="753"/>
      <c r="CZ132" s="753"/>
      <c r="DA132" s="753"/>
      <c r="DB132" s="753"/>
      <c r="DC132" s="753"/>
      <c r="DD132" s="753"/>
      <c r="DE132" s="753"/>
      <c r="DF132" s="753"/>
      <c r="DG132" s="753"/>
      <c r="DH132" s="753"/>
      <c r="DI132" s="753"/>
      <c r="DJ132" s="753"/>
      <c r="DK132" s="753"/>
      <c r="DL132" s="753"/>
      <c r="DM132" s="776"/>
    </row>
    <row r="133" spans="1:118" s="758" customFormat="1">
      <c r="A133" s="798"/>
      <c r="B133" s="799"/>
      <c r="C133" s="780"/>
      <c r="D133" s="780"/>
      <c r="E133" s="780"/>
      <c r="F133" s="780"/>
      <c r="G133" s="780"/>
      <c r="H133" s="784"/>
      <c r="I133" s="785"/>
      <c r="J133" s="1063"/>
      <c r="K133" s="1063"/>
      <c r="L133" s="1063"/>
      <c r="M133" s="1081"/>
      <c r="N133" s="1083"/>
      <c r="O133" s="1130"/>
      <c r="P133" s="1130"/>
      <c r="Q133" s="1039"/>
      <c r="R133" s="1039"/>
      <c r="S133" s="1039"/>
      <c r="T133" s="1039"/>
      <c r="U133" s="1039"/>
      <c r="V133" s="1039"/>
      <c r="W133" s="1039"/>
      <c r="X133" s="1039"/>
      <c r="Y133" s="1039"/>
      <c r="Z133" s="1039"/>
      <c r="AI133" s="1034"/>
      <c r="AJ133" s="1034"/>
      <c r="AK133" s="1034"/>
      <c r="AL133" s="1034"/>
      <c r="AM133" s="1034"/>
      <c r="AN133" s="1034"/>
      <c r="AO133" s="1034"/>
      <c r="CN133" s="753"/>
      <c r="CO133" s="753"/>
      <c r="CP133" s="753"/>
      <c r="CQ133" s="753"/>
      <c r="CR133" s="753"/>
      <c r="CS133" s="753"/>
      <c r="CT133" s="753"/>
      <c r="CU133" s="753"/>
      <c r="CV133" s="753"/>
      <c r="CW133" s="753"/>
      <c r="CX133" s="753"/>
      <c r="CY133" s="753"/>
      <c r="CZ133" s="753"/>
      <c r="DA133" s="753"/>
      <c r="DB133" s="753"/>
      <c r="DC133" s="753"/>
      <c r="DD133" s="753"/>
      <c r="DE133" s="753"/>
      <c r="DF133" s="753"/>
      <c r="DG133" s="753"/>
      <c r="DH133" s="753"/>
      <c r="DI133" s="753"/>
      <c r="DJ133" s="753"/>
      <c r="DK133" s="753"/>
      <c r="DL133" s="753"/>
      <c r="DM133" s="776"/>
    </row>
    <row r="134" spans="1:118" s="758" customFormat="1">
      <c r="A134" s="798"/>
      <c r="B134" s="799"/>
      <c r="C134" s="780"/>
      <c r="D134" s="780"/>
      <c r="E134" s="770"/>
      <c r="F134" s="780"/>
      <c r="G134" s="780"/>
      <c r="H134" s="780"/>
      <c r="I134" s="764"/>
      <c r="J134" s="1063"/>
      <c r="K134" s="1063"/>
      <c r="L134" s="1063"/>
      <c r="M134" s="1144"/>
      <c r="N134" s="1090"/>
      <c r="O134" s="1130"/>
      <c r="P134" s="1130"/>
      <c r="Q134" s="1039"/>
      <c r="R134" s="1039"/>
      <c r="S134" s="1039"/>
      <c r="T134" s="1039"/>
      <c r="U134" s="1039"/>
      <c r="V134" s="1039"/>
      <c r="W134" s="1039"/>
      <c r="X134" s="1039"/>
      <c r="Y134" s="1039"/>
      <c r="Z134" s="1039"/>
      <c r="AI134" s="1034"/>
      <c r="AJ134" s="1034"/>
      <c r="AK134" s="1034"/>
      <c r="AL134" s="1034"/>
      <c r="AM134" s="1034"/>
      <c r="AN134" s="1034"/>
      <c r="AO134" s="1034"/>
      <c r="CN134" s="753"/>
      <c r="CO134" s="753"/>
      <c r="CP134" s="753"/>
      <c r="CQ134" s="753"/>
      <c r="CR134" s="753"/>
      <c r="CS134" s="753"/>
      <c r="CT134" s="753"/>
      <c r="CU134" s="753"/>
      <c r="CV134" s="753"/>
      <c r="CW134" s="753"/>
      <c r="CX134" s="753"/>
      <c r="CY134" s="753"/>
      <c r="CZ134" s="753"/>
      <c r="DA134" s="753"/>
      <c r="DB134" s="753"/>
      <c r="DC134" s="753"/>
      <c r="DD134" s="753"/>
      <c r="DE134" s="753"/>
      <c r="DF134" s="753"/>
      <c r="DG134" s="753"/>
      <c r="DH134" s="753"/>
      <c r="DI134" s="753"/>
      <c r="DJ134" s="753"/>
      <c r="DK134" s="753"/>
      <c r="DL134" s="753"/>
      <c r="DM134" s="776"/>
      <c r="DN134" s="779"/>
    </row>
    <row r="135" spans="1:118" s="758" customFormat="1" ht="15.75">
      <c r="A135" s="794"/>
      <c r="B135" s="800"/>
      <c r="C135" s="780"/>
      <c r="D135" s="780"/>
      <c r="E135" s="770"/>
      <c r="F135" s="780"/>
      <c r="G135" s="780"/>
      <c r="H135" s="780"/>
      <c r="I135" s="788"/>
      <c r="J135" s="1063"/>
      <c r="K135" s="1063"/>
      <c r="L135" s="1063"/>
      <c r="M135" s="1063"/>
      <c r="N135" s="1039"/>
      <c r="O135" s="1039"/>
      <c r="P135" s="1130"/>
      <c r="Q135" s="1039"/>
      <c r="R135" s="1039"/>
      <c r="S135" s="1039"/>
      <c r="T135" s="1039"/>
      <c r="U135" s="1039"/>
      <c r="V135" s="1039"/>
      <c r="W135" s="1039"/>
      <c r="X135" s="1039"/>
      <c r="Y135" s="1039"/>
      <c r="Z135" s="1039"/>
      <c r="AI135" s="1034"/>
      <c r="AJ135" s="1034"/>
      <c r="AK135" s="1034"/>
      <c r="AL135" s="1034"/>
      <c r="AM135" s="1034"/>
      <c r="AN135" s="1034"/>
      <c r="AO135" s="1034"/>
      <c r="CN135" s="753"/>
      <c r="CO135" s="753"/>
      <c r="CP135" s="753"/>
      <c r="CQ135" s="753"/>
      <c r="CR135" s="753"/>
      <c r="CS135" s="753"/>
      <c r="CT135" s="753"/>
      <c r="CU135" s="753"/>
      <c r="CV135" s="753"/>
      <c r="CW135" s="753"/>
      <c r="CX135" s="753"/>
      <c r="CY135" s="753"/>
      <c r="CZ135" s="753"/>
      <c r="DA135" s="753"/>
      <c r="DB135" s="753"/>
      <c r="DC135" s="753"/>
      <c r="DD135" s="753"/>
      <c r="DE135" s="753"/>
      <c r="DF135" s="753"/>
      <c r="DG135" s="753"/>
      <c r="DH135" s="753"/>
      <c r="DI135" s="753"/>
      <c r="DJ135" s="753"/>
      <c r="DK135" s="753"/>
      <c r="DL135" s="753"/>
      <c r="DM135" s="776"/>
    </row>
    <row r="136" spans="1:118" s="758" customFormat="1" ht="15.75">
      <c r="A136" s="794"/>
      <c r="B136" s="800"/>
      <c r="C136" s="780"/>
      <c r="D136" s="780"/>
      <c r="E136" s="802"/>
      <c r="F136" s="780"/>
      <c r="G136" s="780"/>
      <c r="H136" s="780"/>
      <c r="I136" s="788"/>
      <c r="J136" s="1063"/>
      <c r="K136" s="1063"/>
      <c r="L136" s="1063"/>
      <c r="M136" s="1149"/>
      <c r="N136" s="1083"/>
      <c r="O136" s="1150"/>
      <c r="P136" s="1130"/>
      <c r="Q136" s="1039"/>
      <c r="R136" s="1039"/>
      <c r="S136" s="1039"/>
      <c r="T136" s="1039"/>
      <c r="U136" s="1039"/>
      <c r="V136" s="1039"/>
      <c r="W136" s="1039"/>
      <c r="X136" s="1039"/>
      <c r="Y136" s="1039"/>
      <c r="Z136" s="1039"/>
      <c r="AI136" s="1034"/>
      <c r="AJ136" s="1034"/>
      <c r="AK136" s="1034"/>
      <c r="AL136" s="1034"/>
      <c r="AM136" s="1034"/>
      <c r="AN136" s="1034"/>
      <c r="AO136" s="1034"/>
      <c r="CN136" s="753"/>
      <c r="CO136" s="753"/>
      <c r="CP136" s="753"/>
      <c r="CQ136" s="753"/>
      <c r="CR136" s="753"/>
      <c r="CS136" s="753"/>
      <c r="CT136" s="753"/>
      <c r="CU136" s="753"/>
      <c r="CV136" s="753"/>
      <c r="CW136" s="753"/>
      <c r="CX136" s="753"/>
      <c r="CY136" s="753"/>
      <c r="CZ136" s="753"/>
      <c r="DA136" s="753"/>
      <c r="DB136" s="753"/>
      <c r="DC136" s="753"/>
      <c r="DD136" s="753"/>
      <c r="DE136" s="753"/>
      <c r="DF136" s="753"/>
      <c r="DG136" s="753"/>
      <c r="DH136" s="753"/>
      <c r="DI136" s="753"/>
      <c r="DJ136" s="753"/>
      <c r="DK136" s="753"/>
      <c r="DL136" s="753"/>
      <c r="DM136" s="776"/>
    </row>
    <row r="137" spans="1:118" s="758" customFormat="1">
      <c r="A137" s="780"/>
      <c r="B137" s="800"/>
      <c r="C137" s="804"/>
      <c r="D137" s="805"/>
      <c r="E137" s="780"/>
      <c r="F137" s="780"/>
      <c r="G137" s="780"/>
      <c r="H137" s="797"/>
      <c r="I137" s="787"/>
      <c r="J137" s="1063"/>
      <c r="K137" s="1081" t="s">
        <v>25</v>
      </c>
      <c r="L137" s="1076" t="s">
        <v>25</v>
      </c>
      <c r="M137" s="1149"/>
      <c r="N137" s="1083"/>
      <c r="O137" s="1130"/>
      <c r="P137" s="1130"/>
      <c r="Q137" s="1039"/>
      <c r="R137" s="1039"/>
      <c r="S137" s="1039"/>
      <c r="T137" s="1039"/>
      <c r="U137" s="1039"/>
      <c r="V137" s="1039"/>
      <c r="W137" s="1039"/>
      <c r="X137" s="1039"/>
      <c r="Y137" s="1039"/>
      <c r="Z137" s="1039"/>
      <c r="AI137" s="1034"/>
      <c r="AJ137" s="1034"/>
      <c r="AK137" s="1034"/>
      <c r="AL137" s="1034"/>
      <c r="AM137" s="1034"/>
      <c r="AN137" s="1034"/>
      <c r="AO137" s="1034"/>
      <c r="CN137" s="753"/>
      <c r="CO137" s="753"/>
      <c r="CP137" s="753"/>
      <c r="CQ137" s="753"/>
      <c r="CR137" s="753"/>
      <c r="CS137" s="753"/>
      <c r="CT137" s="753"/>
      <c r="CU137" s="753"/>
      <c r="CV137" s="753"/>
      <c r="CW137" s="753"/>
      <c r="CX137" s="753"/>
      <c r="CY137" s="753"/>
      <c r="CZ137" s="753"/>
      <c r="DA137" s="753"/>
      <c r="DB137" s="753"/>
      <c r="DC137" s="753"/>
      <c r="DD137" s="753"/>
      <c r="DE137" s="753"/>
      <c r="DF137" s="753"/>
      <c r="DG137" s="753"/>
      <c r="DH137" s="753"/>
      <c r="DI137" s="753"/>
      <c r="DJ137" s="753"/>
      <c r="DK137" s="753"/>
      <c r="DL137" s="753"/>
      <c r="DM137" s="776"/>
    </row>
    <row r="138" spans="1:118" s="758" customFormat="1">
      <c r="A138" s="780"/>
      <c r="B138" s="780"/>
      <c r="C138" s="780"/>
      <c r="D138" s="780"/>
      <c r="E138" s="780"/>
      <c r="F138" s="780"/>
      <c r="G138" s="801"/>
      <c r="H138" s="797"/>
      <c r="I138" s="787"/>
      <c r="J138" s="1063"/>
      <c r="K138" s="1081" t="s">
        <v>25</v>
      </c>
      <c r="L138" s="1076" t="s">
        <v>25</v>
      </c>
      <c r="M138" s="1063"/>
      <c r="N138" s="1039"/>
      <c r="O138" s="1039"/>
      <c r="P138" s="1130"/>
      <c r="Q138" s="1039"/>
      <c r="R138" s="1039"/>
      <c r="S138" s="1039"/>
      <c r="T138" s="1039"/>
      <c r="U138" s="1039"/>
      <c r="V138" s="1039"/>
      <c r="W138" s="1039"/>
      <c r="X138" s="1039"/>
      <c r="Y138" s="1039"/>
      <c r="Z138" s="1039"/>
      <c r="AI138" s="1034"/>
      <c r="AJ138" s="1034"/>
      <c r="AK138" s="1034"/>
      <c r="AL138" s="1034"/>
      <c r="AM138" s="1034"/>
      <c r="AN138" s="1034"/>
      <c r="AO138" s="1034"/>
      <c r="CN138" s="753"/>
      <c r="CO138" s="753"/>
      <c r="CP138" s="753"/>
      <c r="CQ138" s="753"/>
      <c r="CR138" s="753"/>
      <c r="CS138" s="753"/>
      <c r="CT138" s="753"/>
      <c r="CU138" s="753"/>
      <c r="CV138" s="753"/>
      <c r="CW138" s="753"/>
      <c r="CX138" s="753"/>
      <c r="CY138" s="753"/>
      <c r="CZ138" s="753"/>
      <c r="DA138" s="753"/>
      <c r="DB138" s="753"/>
      <c r="DC138" s="753"/>
      <c r="DD138" s="753"/>
      <c r="DE138" s="753"/>
      <c r="DF138" s="753"/>
      <c r="DG138" s="753"/>
      <c r="DH138" s="753"/>
      <c r="DI138" s="753"/>
      <c r="DJ138" s="753"/>
      <c r="DK138" s="753"/>
      <c r="DL138" s="753"/>
      <c r="DM138" s="776"/>
    </row>
    <row r="139" spans="1:118" s="758" customFormat="1">
      <c r="A139" s="806"/>
      <c r="B139" s="780"/>
      <c r="C139" s="780"/>
      <c r="D139" s="780"/>
      <c r="E139" s="780"/>
      <c r="F139" s="780"/>
      <c r="G139" s="780"/>
      <c r="H139" s="780"/>
      <c r="I139" s="788"/>
      <c r="J139" s="1063"/>
      <c r="K139" s="1063"/>
      <c r="L139" s="1063"/>
      <c r="M139" s="1081"/>
      <c r="N139" s="1151"/>
      <c r="O139" s="1130"/>
      <c r="P139" s="1130"/>
      <c r="Q139" s="1039"/>
      <c r="R139" s="1039"/>
      <c r="S139" s="1039"/>
      <c r="T139" s="1039"/>
      <c r="U139" s="1039"/>
      <c r="V139" s="1039"/>
      <c r="W139" s="1039"/>
      <c r="X139" s="1039"/>
      <c r="Y139" s="1039"/>
      <c r="Z139" s="1039"/>
      <c r="AI139" s="1034"/>
      <c r="AJ139" s="1034"/>
      <c r="AK139" s="1034"/>
      <c r="AL139" s="1034"/>
      <c r="AM139" s="1034"/>
      <c r="AN139" s="1034"/>
      <c r="AO139" s="1034"/>
      <c r="CN139" s="753"/>
      <c r="CO139" s="753"/>
      <c r="CP139" s="753"/>
      <c r="CQ139" s="753"/>
      <c r="CR139" s="753"/>
      <c r="CS139" s="753"/>
      <c r="CT139" s="753"/>
      <c r="CU139" s="753"/>
      <c r="CV139" s="753"/>
      <c r="CW139" s="753"/>
      <c r="CX139" s="753"/>
      <c r="CY139" s="753"/>
      <c r="CZ139" s="753"/>
      <c r="DA139" s="753"/>
      <c r="DB139" s="753"/>
      <c r="DC139" s="753"/>
      <c r="DD139" s="753"/>
      <c r="DE139" s="753"/>
      <c r="DF139" s="753"/>
      <c r="DG139" s="753"/>
      <c r="DH139" s="753"/>
      <c r="DI139" s="753"/>
      <c r="DJ139" s="753"/>
      <c r="DK139" s="753"/>
      <c r="DL139" s="753"/>
      <c r="DM139" s="776"/>
    </row>
    <row r="140" spans="1:118" s="758" customFormat="1" ht="15.75">
      <c r="A140" s="794"/>
      <c r="B140" s="800"/>
      <c r="C140" s="780"/>
      <c r="D140" s="780"/>
      <c r="E140" s="780"/>
      <c r="F140" s="801"/>
      <c r="G140" s="780"/>
      <c r="H140" s="801"/>
      <c r="I140" s="764"/>
      <c r="J140" s="1063"/>
      <c r="K140" s="1063"/>
      <c r="L140" s="1063"/>
      <c r="M140" s="1081"/>
      <c r="N140" s="1083"/>
      <c r="O140" s="1130"/>
      <c r="P140" s="1130"/>
      <c r="Q140" s="1039"/>
      <c r="R140" s="1039"/>
      <c r="S140" s="1039"/>
      <c r="T140" s="1039"/>
      <c r="U140" s="1039"/>
      <c r="V140" s="1039"/>
      <c r="W140" s="1039"/>
      <c r="X140" s="1039"/>
      <c r="Y140" s="1039"/>
      <c r="Z140" s="1039"/>
      <c r="AI140" s="1034"/>
      <c r="AJ140" s="1034"/>
      <c r="AK140" s="1034"/>
      <c r="AL140" s="1034"/>
      <c r="AM140" s="1034"/>
      <c r="AN140" s="1034"/>
      <c r="AO140" s="1034"/>
      <c r="CN140" s="753"/>
      <c r="CO140" s="753"/>
      <c r="CP140" s="753"/>
      <c r="CQ140" s="753"/>
      <c r="CR140" s="753"/>
      <c r="CS140" s="753"/>
      <c r="CT140" s="753"/>
      <c r="CU140" s="753"/>
      <c r="CV140" s="753"/>
      <c r="CW140" s="753"/>
      <c r="CX140" s="753"/>
      <c r="CY140" s="753"/>
      <c r="CZ140" s="753"/>
      <c r="DA140" s="753"/>
      <c r="DB140" s="753"/>
      <c r="DC140" s="753"/>
      <c r="DD140" s="753"/>
      <c r="DE140" s="753"/>
      <c r="DF140" s="753"/>
      <c r="DG140" s="753"/>
      <c r="DH140" s="753"/>
      <c r="DI140" s="753"/>
      <c r="DJ140" s="753"/>
      <c r="DK140" s="753"/>
      <c r="DL140" s="753"/>
      <c r="DM140" s="776"/>
    </row>
    <row r="141" spans="1:118" s="758" customFormat="1" ht="15.75">
      <c r="A141" s="794"/>
      <c r="B141" s="800"/>
      <c r="C141" s="780"/>
      <c r="D141" s="780"/>
      <c r="E141" s="773"/>
      <c r="F141" s="773"/>
      <c r="G141" s="780"/>
      <c r="H141" s="780"/>
      <c r="I141" s="788"/>
      <c r="J141" s="1063"/>
      <c r="K141" s="1063"/>
      <c r="L141" s="1063"/>
      <c r="M141" s="1081"/>
      <c r="N141" s="1083"/>
      <c r="O141" s="1130"/>
      <c r="P141" s="1130"/>
      <c r="Q141" s="1039"/>
      <c r="R141" s="1039"/>
      <c r="S141" s="1039"/>
      <c r="T141" s="1039"/>
      <c r="U141" s="1039"/>
      <c r="V141" s="1039"/>
      <c r="W141" s="1039"/>
      <c r="X141" s="1039"/>
      <c r="Y141" s="1039"/>
      <c r="Z141" s="1039"/>
      <c r="AI141" s="1034"/>
      <c r="AJ141" s="1034"/>
      <c r="AK141" s="1034"/>
      <c r="AL141" s="1034"/>
      <c r="AM141" s="1034"/>
      <c r="AN141" s="1034"/>
      <c r="AO141" s="1034"/>
      <c r="CN141" s="753"/>
      <c r="CO141" s="753"/>
      <c r="CP141" s="753"/>
      <c r="CQ141" s="753"/>
      <c r="CR141" s="753"/>
      <c r="CS141" s="753"/>
      <c r="CT141" s="753"/>
      <c r="CU141" s="753"/>
      <c r="CV141" s="753"/>
      <c r="CW141" s="753"/>
      <c r="CX141" s="753"/>
      <c r="CY141" s="753"/>
      <c r="CZ141" s="753"/>
      <c r="DA141" s="753"/>
      <c r="DB141" s="753"/>
      <c r="DC141" s="753"/>
      <c r="DD141" s="753"/>
      <c r="DE141" s="753"/>
      <c r="DF141" s="753"/>
      <c r="DG141" s="753"/>
      <c r="DH141" s="753"/>
      <c r="DI141" s="753"/>
      <c r="DJ141" s="753"/>
      <c r="DK141" s="753"/>
      <c r="DL141" s="753"/>
      <c r="DM141" s="776"/>
    </row>
    <row r="142" spans="1:118" s="758" customFormat="1">
      <c r="A142" s="798"/>
      <c r="B142" s="799"/>
      <c r="C142" s="780"/>
      <c r="D142" s="780"/>
      <c r="E142" s="780"/>
      <c r="F142" s="780"/>
      <c r="G142" s="773"/>
      <c r="H142" s="773"/>
      <c r="I142" s="764"/>
      <c r="J142" s="1063"/>
      <c r="K142" s="1063"/>
      <c r="L142" s="1063"/>
      <c r="M142" s="1081"/>
      <c r="N142" s="1083"/>
      <c r="O142" s="1130"/>
      <c r="P142" s="1130"/>
      <c r="Q142" s="1039"/>
      <c r="R142" s="1039"/>
      <c r="S142" s="1039"/>
      <c r="T142" s="1039"/>
      <c r="U142" s="1039"/>
      <c r="V142" s="1039"/>
      <c r="W142" s="1039"/>
      <c r="X142" s="1039"/>
      <c r="Y142" s="1039"/>
      <c r="Z142" s="1039"/>
      <c r="AI142" s="1034"/>
      <c r="AJ142" s="1034"/>
      <c r="AK142" s="1034"/>
      <c r="AL142" s="1034"/>
      <c r="AM142" s="1034"/>
      <c r="AN142" s="1034"/>
      <c r="AO142" s="1034"/>
      <c r="CN142" s="753"/>
      <c r="CO142" s="753"/>
      <c r="CP142" s="753"/>
      <c r="CQ142" s="753"/>
      <c r="CR142" s="753"/>
      <c r="CS142" s="753"/>
      <c r="CT142" s="753"/>
      <c r="CU142" s="753"/>
      <c r="CV142" s="753"/>
      <c r="CW142" s="753"/>
      <c r="CX142" s="753"/>
      <c r="CY142" s="753"/>
      <c r="CZ142" s="753"/>
      <c r="DA142" s="753"/>
      <c r="DB142" s="753"/>
      <c r="DC142" s="753"/>
      <c r="DD142" s="753"/>
      <c r="DE142" s="753"/>
      <c r="DF142" s="753"/>
      <c r="DG142" s="753"/>
      <c r="DH142" s="753"/>
      <c r="DI142" s="753"/>
      <c r="DJ142" s="753"/>
      <c r="DK142" s="753"/>
      <c r="DL142" s="753"/>
      <c r="DM142" s="776"/>
    </row>
    <row r="143" spans="1:118" s="758" customFormat="1">
      <c r="A143" s="780"/>
      <c r="B143" s="780"/>
      <c r="C143" s="780"/>
      <c r="D143" s="804"/>
      <c r="E143" s="773"/>
      <c r="F143" s="773"/>
      <c r="G143" s="780"/>
      <c r="H143" s="801"/>
      <c r="I143" s="764"/>
      <c r="J143" s="1063"/>
      <c r="K143" s="808"/>
      <c r="L143" s="1063"/>
      <c r="M143" s="1081"/>
      <c r="N143" s="1083"/>
      <c r="O143" s="1039"/>
      <c r="P143" s="1130"/>
      <c r="Q143" s="1039"/>
      <c r="R143" s="1039"/>
      <c r="S143" s="1039"/>
      <c r="T143" s="1039"/>
      <c r="U143" s="1039"/>
      <c r="V143" s="1039"/>
      <c r="W143" s="1039"/>
      <c r="X143" s="1039"/>
      <c r="Y143" s="1039"/>
      <c r="Z143" s="1039"/>
      <c r="AI143" s="1034"/>
      <c r="AJ143" s="1034"/>
      <c r="AK143" s="1034"/>
      <c r="AL143" s="1034"/>
      <c r="AM143" s="1034"/>
      <c r="AN143" s="1034"/>
      <c r="AO143" s="1034"/>
      <c r="CN143" s="753"/>
      <c r="CO143" s="753"/>
      <c r="CP143" s="753"/>
      <c r="CQ143" s="753"/>
      <c r="CR143" s="753"/>
      <c r="CS143" s="753"/>
      <c r="CT143" s="753"/>
      <c r="CU143" s="753"/>
      <c r="CV143" s="753"/>
      <c r="CW143" s="753"/>
      <c r="CX143" s="753"/>
      <c r="CY143" s="753"/>
      <c r="CZ143" s="753"/>
      <c r="DA143" s="753"/>
      <c r="DB143" s="753"/>
      <c r="DC143" s="753"/>
      <c r="DD143" s="753"/>
      <c r="DE143" s="753"/>
      <c r="DF143" s="753"/>
      <c r="DG143" s="753"/>
      <c r="DH143" s="753"/>
      <c r="DI143" s="753"/>
      <c r="DJ143" s="753"/>
      <c r="DK143" s="753"/>
      <c r="DL143" s="753"/>
      <c r="DM143" s="776"/>
    </row>
    <row r="144" spans="1:118" s="758" customFormat="1">
      <c r="A144" s="796"/>
      <c r="B144" s="800"/>
      <c r="C144" s="804"/>
      <c r="D144" s="804"/>
      <c r="E144" s="780"/>
      <c r="F144" s="780"/>
      <c r="G144" s="773"/>
      <c r="H144" s="773"/>
      <c r="I144" s="764"/>
      <c r="J144" s="1063"/>
      <c r="K144" s="1148"/>
      <c r="L144" s="1063"/>
      <c r="M144" s="1081"/>
      <c r="N144" s="1083"/>
      <c r="O144" s="1039"/>
      <c r="P144" s="1130"/>
      <c r="Q144" s="1039"/>
      <c r="R144" s="1039"/>
      <c r="S144" s="1039"/>
      <c r="T144" s="1039"/>
      <c r="U144" s="1039"/>
      <c r="V144" s="1039"/>
      <c r="W144" s="1039"/>
      <c r="X144" s="1039"/>
      <c r="Y144" s="1039"/>
      <c r="Z144" s="1039"/>
      <c r="AI144" s="1034"/>
      <c r="AJ144" s="1034"/>
      <c r="AK144" s="1034"/>
      <c r="AL144" s="1034"/>
      <c r="AM144" s="1034"/>
      <c r="AN144" s="1034"/>
      <c r="AO144" s="1034"/>
      <c r="CN144" s="753"/>
      <c r="CO144" s="753"/>
      <c r="CP144" s="753"/>
      <c r="CQ144" s="753"/>
      <c r="CR144" s="753"/>
      <c r="CS144" s="753"/>
      <c r="CT144" s="753"/>
      <c r="CU144" s="753"/>
      <c r="CV144" s="753"/>
      <c r="CW144" s="753"/>
      <c r="CX144" s="753"/>
      <c r="CY144" s="753"/>
      <c r="CZ144" s="753"/>
      <c r="DA144" s="753"/>
      <c r="DB144" s="753"/>
      <c r="DC144" s="753"/>
      <c r="DD144" s="753"/>
      <c r="DE144" s="753"/>
      <c r="DF144" s="753"/>
      <c r="DG144" s="753"/>
      <c r="DH144" s="753"/>
      <c r="DI144" s="753"/>
      <c r="DJ144" s="753"/>
      <c r="DK144" s="753"/>
      <c r="DL144" s="753"/>
      <c r="DM144" s="776"/>
    </row>
    <row r="145" spans="1:118" s="758" customFormat="1">
      <c r="A145" s="798"/>
      <c r="B145" s="800"/>
      <c r="C145" s="809"/>
      <c r="D145" s="804"/>
      <c r="E145" s="773"/>
      <c r="F145" s="773"/>
      <c r="G145" s="773"/>
      <c r="H145" s="797"/>
      <c r="I145" s="787"/>
      <c r="J145" s="1063"/>
      <c r="K145" s="1081"/>
      <c r="L145" s="1063"/>
      <c r="M145" s="1081"/>
      <c r="N145" s="1076"/>
      <c r="O145" s="1130"/>
      <c r="P145" s="1152"/>
      <c r="Q145" s="1039"/>
      <c r="R145" s="1039"/>
      <c r="S145" s="1039"/>
      <c r="T145" s="1039"/>
      <c r="U145" s="1039"/>
      <c r="V145" s="1039"/>
      <c r="W145" s="1039"/>
      <c r="X145" s="1039"/>
      <c r="Y145" s="1039"/>
      <c r="Z145" s="1039"/>
      <c r="AI145" s="1034"/>
      <c r="AJ145" s="1034"/>
      <c r="AK145" s="1034"/>
      <c r="AL145" s="1034"/>
      <c r="AM145" s="1034"/>
      <c r="AN145" s="1034"/>
      <c r="AO145" s="1034"/>
      <c r="CN145" s="753"/>
      <c r="CO145" s="753"/>
      <c r="CP145" s="753"/>
      <c r="CQ145" s="753"/>
      <c r="CR145" s="753"/>
      <c r="CS145" s="753"/>
      <c r="CT145" s="753"/>
      <c r="CU145" s="753"/>
      <c r="CV145" s="753"/>
      <c r="CW145" s="753"/>
      <c r="CX145" s="753"/>
      <c r="CY145" s="753"/>
      <c r="CZ145" s="753"/>
      <c r="DA145" s="753"/>
      <c r="DB145" s="753"/>
      <c r="DC145" s="753"/>
      <c r="DD145" s="753"/>
      <c r="DE145" s="753"/>
      <c r="DF145" s="753"/>
      <c r="DG145" s="753"/>
      <c r="DH145" s="753"/>
      <c r="DI145" s="753"/>
      <c r="DJ145" s="753"/>
      <c r="DK145" s="753"/>
      <c r="DL145" s="753"/>
      <c r="DM145" s="776"/>
      <c r="DN145" s="778"/>
    </row>
    <row r="146" spans="1:118" s="758" customFormat="1">
      <c r="A146" s="798"/>
      <c r="B146" s="800"/>
      <c r="C146" s="804"/>
      <c r="D146" s="804"/>
      <c r="E146" s="773"/>
      <c r="F146" s="773"/>
      <c r="G146" s="773"/>
      <c r="H146" s="773"/>
      <c r="I146" s="788"/>
      <c r="J146" s="1063"/>
      <c r="K146" s="1081"/>
      <c r="L146" s="1063"/>
      <c r="M146" s="1081"/>
      <c r="N146" s="1076"/>
      <c r="O146" s="1130"/>
      <c r="P146" s="1152"/>
      <c r="Q146" s="1039"/>
      <c r="R146" s="1039"/>
      <c r="S146" s="1039"/>
      <c r="T146" s="1039"/>
      <c r="U146" s="1039"/>
      <c r="V146" s="1039"/>
      <c r="W146" s="1039"/>
      <c r="X146" s="1039"/>
      <c r="Y146" s="1039"/>
      <c r="Z146" s="1039"/>
      <c r="AI146" s="1034"/>
      <c r="AJ146" s="1034"/>
      <c r="AK146" s="1034"/>
      <c r="AL146" s="1034"/>
      <c r="AM146" s="1034"/>
      <c r="AN146" s="1034"/>
      <c r="AO146" s="1034"/>
      <c r="CN146" s="753"/>
      <c r="CO146" s="753"/>
      <c r="CP146" s="753"/>
      <c r="CQ146" s="753"/>
      <c r="CR146" s="753"/>
      <c r="CS146" s="753"/>
      <c r="CT146" s="753"/>
      <c r="CU146" s="753"/>
      <c r="CV146" s="753"/>
      <c r="CW146" s="753"/>
      <c r="CX146" s="753"/>
      <c r="CY146" s="753"/>
      <c r="CZ146" s="753"/>
      <c r="DA146" s="753"/>
      <c r="DB146" s="753"/>
      <c r="DC146" s="753"/>
      <c r="DD146" s="753"/>
      <c r="DE146" s="753"/>
      <c r="DF146" s="753"/>
      <c r="DG146" s="753"/>
      <c r="DH146" s="753"/>
      <c r="DI146" s="753"/>
      <c r="DJ146" s="753"/>
      <c r="DK146" s="753"/>
      <c r="DL146" s="753"/>
      <c r="DM146" s="776"/>
    </row>
    <row r="147" spans="1:118" s="758" customFormat="1">
      <c r="A147" s="798"/>
      <c r="B147" s="800"/>
      <c r="C147" s="804"/>
      <c r="D147" s="804"/>
      <c r="E147" s="780"/>
      <c r="F147" s="780"/>
      <c r="G147" s="780"/>
      <c r="H147" s="780"/>
      <c r="I147" s="780"/>
      <c r="J147" s="1063"/>
      <c r="K147" s="1081"/>
      <c r="L147" s="1063"/>
      <c r="M147" s="1081"/>
      <c r="N147" s="1083"/>
      <c r="O147" s="1130"/>
      <c r="P147" s="1130"/>
      <c r="Q147" s="1039"/>
      <c r="R147" s="1039"/>
      <c r="S147" s="1039"/>
      <c r="T147" s="1039"/>
      <c r="U147" s="1039"/>
      <c r="V147" s="1039"/>
      <c r="W147" s="1039"/>
      <c r="X147" s="1039"/>
      <c r="Y147" s="1039"/>
      <c r="Z147" s="1039"/>
      <c r="AI147" s="1034"/>
      <c r="AJ147" s="1034"/>
      <c r="AK147" s="1034"/>
      <c r="AL147" s="1034"/>
      <c r="AM147" s="1034"/>
      <c r="AN147" s="1034"/>
      <c r="AO147" s="1034"/>
      <c r="CN147" s="753"/>
      <c r="CO147" s="753"/>
      <c r="CP147" s="753"/>
      <c r="CQ147" s="753"/>
      <c r="CR147" s="753"/>
      <c r="CS147" s="753"/>
      <c r="CT147" s="753"/>
      <c r="CU147" s="753"/>
      <c r="CV147" s="753"/>
      <c r="CW147" s="753"/>
      <c r="CX147" s="753"/>
      <c r="CY147" s="753"/>
      <c r="CZ147" s="753"/>
      <c r="DA147" s="753"/>
      <c r="DB147" s="753"/>
      <c r="DC147" s="753"/>
      <c r="DD147" s="753"/>
      <c r="DE147" s="753"/>
      <c r="DF147" s="753"/>
      <c r="DG147" s="753"/>
      <c r="DH147" s="753"/>
      <c r="DI147" s="753"/>
      <c r="DJ147" s="753"/>
      <c r="DK147" s="753"/>
      <c r="DL147" s="753"/>
      <c r="DM147" s="776"/>
    </row>
    <row r="148" spans="1:118" s="758" customFormat="1">
      <c r="A148" s="798"/>
      <c r="B148" s="800"/>
      <c r="C148" s="804"/>
      <c r="D148" s="804"/>
      <c r="E148" s="780"/>
      <c r="F148" s="780"/>
      <c r="G148" s="780"/>
      <c r="H148" s="780"/>
      <c r="I148" s="780"/>
      <c r="J148" s="1063"/>
      <c r="K148" s="1063"/>
      <c r="L148" s="1063"/>
      <c r="M148" s="1081"/>
      <c r="N148" s="1083"/>
      <c r="O148" s="1130"/>
      <c r="P148" s="1130"/>
      <c r="Q148" s="1039"/>
      <c r="R148" s="1039"/>
      <c r="S148" s="1039"/>
      <c r="T148" s="1039"/>
      <c r="U148" s="1039"/>
      <c r="V148" s="1039"/>
      <c r="W148" s="1039"/>
      <c r="X148" s="1039"/>
      <c r="Y148" s="1039"/>
      <c r="Z148" s="1039"/>
      <c r="AI148" s="1034"/>
      <c r="AJ148" s="1034"/>
      <c r="AK148" s="1034"/>
      <c r="AL148" s="1034"/>
      <c r="AM148" s="1034"/>
      <c r="AN148" s="1034"/>
      <c r="AO148" s="1034"/>
      <c r="CN148" s="753"/>
      <c r="CO148" s="753"/>
      <c r="CP148" s="753"/>
      <c r="CQ148" s="753"/>
      <c r="CR148" s="753"/>
      <c r="CS148" s="753"/>
      <c r="CT148" s="753"/>
      <c r="CU148" s="753"/>
      <c r="CV148" s="753"/>
      <c r="CW148" s="753"/>
      <c r="CX148" s="753"/>
      <c r="CY148" s="753"/>
      <c r="CZ148" s="753"/>
      <c r="DA148" s="753"/>
      <c r="DB148" s="753"/>
      <c r="DC148" s="753"/>
      <c r="DD148" s="753"/>
      <c r="DE148" s="753"/>
      <c r="DF148" s="753"/>
      <c r="DG148" s="753"/>
      <c r="DH148" s="753"/>
      <c r="DI148" s="753"/>
      <c r="DJ148" s="753"/>
      <c r="DK148" s="753"/>
      <c r="DL148" s="753"/>
      <c r="DM148" s="776"/>
    </row>
    <row r="149" spans="1:118" s="758" customFormat="1">
      <c r="A149" s="798"/>
      <c r="B149" s="800"/>
      <c r="C149" s="804"/>
      <c r="D149" s="780"/>
      <c r="E149" s="780"/>
      <c r="F149" s="780"/>
      <c r="G149" s="780"/>
      <c r="H149" s="780"/>
      <c r="I149" s="780"/>
      <c r="J149" s="1063"/>
      <c r="K149" s="1148"/>
      <c r="L149" s="1063"/>
      <c r="M149" s="1081"/>
      <c r="N149" s="1076"/>
      <c r="O149" s="1130"/>
      <c r="P149" s="1152"/>
      <c r="Q149" s="1039"/>
      <c r="R149" s="1039"/>
      <c r="S149" s="1039"/>
      <c r="T149" s="1039"/>
      <c r="U149" s="1039"/>
      <c r="V149" s="1039"/>
      <c r="W149" s="1039"/>
      <c r="X149" s="1039"/>
      <c r="Y149" s="1039"/>
      <c r="Z149" s="1039"/>
      <c r="AI149" s="1034"/>
      <c r="AJ149" s="1034"/>
      <c r="AK149" s="1034"/>
      <c r="AL149" s="1034"/>
      <c r="AM149" s="1034"/>
      <c r="AN149" s="1034"/>
      <c r="AO149" s="1034"/>
      <c r="CN149" s="753"/>
      <c r="CO149" s="753"/>
      <c r="CP149" s="753"/>
      <c r="CQ149" s="753"/>
      <c r="CR149" s="753"/>
      <c r="CS149" s="753"/>
      <c r="CT149" s="753"/>
      <c r="CU149" s="753"/>
      <c r="CV149" s="753"/>
      <c r="CW149" s="753"/>
      <c r="CX149" s="753"/>
      <c r="CY149" s="753"/>
      <c r="CZ149" s="753"/>
      <c r="DA149" s="753"/>
      <c r="DB149" s="753"/>
      <c r="DC149" s="753"/>
      <c r="DD149" s="753"/>
      <c r="DE149" s="753"/>
      <c r="DF149" s="753"/>
      <c r="DG149" s="753"/>
      <c r="DH149" s="753"/>
      <c r="DI149" s="753"/>
      <c r="DJ149" s="753"/>
      <c r="DK149" s="753"/>
      <c r="DL149" s="753"/>
      <c r="DM149" s="776"/>
    </row>
    <row r="150" spans="1:118" s="758" customFormat="1">
      <c r="A150" s="780"/>
      <c r="B150" s="780"/>
      <c r="C150" s="780"/>
      <c r="D150" s="780"/>
      <c r="E150" s="780"/>
      <c r="F150" s="780"/>
      <c r="G150" s="780"/>
      <c r="H150" s="780"/>
      <c r="I150" s="780"/>
      <c r="J150" s="1063"/>
      <c r="K150" s="1081"/>
      <c r="L150" s="1063"/>
      <c r="M150" s="1081"/>
      <c r="N150" s="1076"/>
      <c r="O150" s="1130"/>
      <c r="P150" s="1152"/>
      <c r="Q150" s="1039"/>
      <c r="R150" s="1039"/>
      <c r="S150" s="1039"/>
      <c r="T150" s="1039"/>
      <c r="U150" s="1039"/>
      <c r="V150" s="1039"/>
      <c r="W150" s="1039"/>
      <c r="X150" s="1039"/>
      <c r="Y150" s="1039"/>
      <c r="Z150" s="1039"/>
      <c r="AI150" s="1034"/>
      <c r="AJ150" s="1034"/>
      <c r="AK150" s="1034"/>
      <c r="AL150" s="1034"/>
      <c r="AM150" s="1034"/>
      <c r="AN150" s="1034"/>
      <c r="AO150" s="1034"/>
      <c r="CN150" s="753"/>
      <c r="CO150" s="753"/>
      <c r="CP150" s="753"/>
      <c r="CQ150" s="753"/>
      <c r="CR150" s="753"/>
      <c r="CS150" s="753"/>
      <c r="CT150" s="753"/>
      <c r="CU150" s="753"/>
      <c r="CV150" s="753"/>
      <c r="CW150" s="753"/>
      <c r="CX150" s="753"/>
      <c r="CY150" s="753"/>
      <c r="CZ150" s="753"/>
      <c r="DA150" s="753"/>
      <c r="DB150" s="753"/>
      <c r="DC150" s="753"/>
      <c r="DD150" s="753"/>
      <c r="DE150" s="753"/>
      <c r="DF150" s="753"/>
      <c r="DG150" s="753"/>
      <c r="DH150" s="753"/>
      <c r="DI150" s="753"/>
      <c r="DJ150" s="753"/>
      <c r="DK150" s="753"/>
      <c r="DL150" s="753"/>
      <c r="DM150" s="776"/>
    </row>
    <row r="151" spans="1:118" s="758" customFormat="1">
      <c r="A151" s="780"/>
      <c r="B151" s="780"/>
      <c r="C151" s="780"/>
      <c r="D151" s="780"/>
      <c r="E151" s="780"/>
      <c r="F151" s="780"/>
      <c r="G151" s="780"/>
      <c r="H151" s="780"/>
      <c r="I151" s="780"/>
      <c r="J151" s="1063"/>
      <c r="K151" s="1081"/>
      <c r="L151" s="1063"/>
      <c r="M151" s="1081"/>
      <c r="N151" s="1076"/>
      <c r="O151" s="1130"/>
      <c r="P151" s="1152"/>
      <c r="Q151" s="1039"/>
      <c r="R151" s="1039"/>
      <c r="S151" s="1039"/>
      <c r="T151" s="1039"/>
      <c r="U151" s="1039"/>
      <c r="V151" s="1039"/>
      <c r="W151" s="1039"/>
      <c r="X151" s="1039"/>
      <c r="Y151" s="1039"/>
      <c r="Z151" s="1039"/>
      <c r="AI151" s="1034"/>
      <c r="AJ151" s="1034"/>
      <c r="AK151" s="1034"/>
      <c r="AL151" s="1034"/>
      <c r="AM151" s="1034"/>
      <c r="AN151" s="1034"/>
      <c r="AO151" s="1034"/>
      <c r="CN151" s="753"/>
      <c r="CO151" s="753"/>
      <c r="CP151" s="753"/>
      <c r="CQ151" s="753"/>
      <c r="CR151" s="753"/>
      <c r="CS151" s="753"/>
      <c r="CT151" s="753"/>
      <c r="CU151" s="753"/>
      <c r="CV151" s="753"/>
      <c r="CW151" s="753"/>
      <c r="CX151" s="753"/>
      <c r="CY151" s="753"/>
      <c r="CZ151" s="753"/>
      <c r="DA151" s="753"/>
      <c r="DB151" s="753"/>
      <c r="DC151" s="753"/>
      <c r="DD151" s="753"/>
      <c r="DE151" s="753"/>
      <c r="DF151" s="753"/>
      <c r="DG151" s="753"/>
      <c r="DH151" s="753"/>
      <c r="DI151" s="753"/>
      <c r="DJ151" s="753"/>
      <c r="DK151" s="753"/>
      <c r="DL151" s="753"/>
      <c r="DM151" s="776"/>
      <c r="DN151" s="770"/>
    </row>
    <row r="152" spans="1:118" s="758" customFormat="1">
      <c r="A152" s="780"/>
      <c r="B152" s="780"/>
      <c r="C152" s="780"/>
      <c r="D152" s="780"/>
      <c r="E152" s="780"/>
      <c r="F152" s="780"/>
      <c r="G152" s="780"/>
      <c r="H152" s="780"/>
      <c r="I152" s="780"/>
      <c r="J152" s="1063"/>
      <c r="K152" s="1081"/>
      <c r="L152" s="1063"/>
      <c r="M152" s="1081"/>
      <c r="N152" s="1076"/>
      <c r="O152" s="1130"/>
      <c r="P152" s="1152"/>
      <c r="Q152" s="1039"/>
      <c r="R152" s="1039"/>
      <c r="S152" s="1039"/>
      <c r="T152" s="1039"/>
      <c r="U152" s="1039"/>
      <c r="V152" s="1039"/>
      <c r="W152" s="1039"/>
      <c r="X152" s="1039"/>
      <c r="Y152" s="1039"/>
      <c r="Z152" s="1039"/>
      <c r="AI152" s="1034"/>
      <c r="AJ152" s="1034"/>
      <c r="AK152" s="1034"/>
      <c r="AL152" s="1034"/>
      <c r="AM152" s="1034"/>
      <c r="AN152" s="1034"/>
      <c r="AO152" s="1034"/>
      <c r="CN152" s="753"/>
      <c r="CO152" s="753"/>
      <c r="CP152" s="753"/>
      <c r="CQ152" s="753"/>
      <c r="CR152" s="753"/>
      <c r="CS152" s="753"/>
      <c r="CT152" s="753"/>
      <c r="CU152" s="753"/>
      <c r="CV152" s="753"/>
      <c r="CW152" s="753"/>
      <c r="CX152" s="753"/>
      <c r="CY152" s="753"/>
      <c r="CZ152" s="753"/>
      <c r="DA152" s="753"/>
      <c r="DB152" s="753"/>
      <c r="DC152" s="753"/>
      <c r="DD152" s="753"/>
      <c r="DE152" s="753"/>
      <c r="DF152" s="753"/>
      <c r="DG152" s="753"/>
      <c r="DH152" s="753"/>
      <c r="DI152" s="753"/>
      <c r="DJ152" s="753"/>
      <c r="DK152" s="753"/>
      <c r="DL152" s="753"/>
      <c r="DM152" s="776"/>
    </row>
    <row r="153" spans="1:118" s="758" customFormat="1">
      <c r="A153" s="780"/>
      <c r="B153" s="780"/>
      <c r="C153" s="780"/>
      <c r="D153" s="780"/>
      <c r="E153" s="780"/>
      <c r="F153" s="780"/>
      <c r="G153" s="780"/>
      <c r="H153" s="780"/>
      <c r="I153" s="780"/>
      <c r="J153" s="1063"/>
      <c r="K153" s="1148"/>
      <c r="L153" s="1063"/>
      <c r="M153" s="1127"/>
      <c r="N153" s="1039"/>
      <c r="O153" s="1039"/>
      <c r="P153" s="1130"/>
      <c r="Q153" s="1039"/>
      <c r="R153" s="1039"/>
      <c r="S153" s="1039"/>
      <c r="T153" s="1039"/>
      <c r="U153" s="1039"/>
      <c r="V153" s="1039"/>
      <c r="W153" s="1039"/>
      <c r="X153" s="1039"/>
      <c r="Y153" s="1039"/>
      <c r="Z153" s="1039"/>
      <c r="AI153" s="1034"/>
      <c r="AJ153" s="1034"/>
      <c r="AK153" s="1034"/>
      <c r="AL153" s="1034"/>
      <c r="AM153" s="1034"/>
      <c r="AN153" s="1034"/>
      <c r="AO153" s="1034"/>
      <c r="CN153" s="753"/>
      <c r="CO153" s="753"/>
      <c r="CP153" s="753"/>
      <c r="CQ153" s="753"/>
      <c r="CR153" s="753"/>
      <c r="CS153" s="753"/>
      <c r="CT153" s="753"/>
      <c r="CU153" s="753"/>
      <c r="CV153" s="753"/>
      <c r="CW153" s="753"/>
      <c r="CX153" s="753"/>
      <c r="CY153" s="753"/>
      <c r="CZ153" s="753"/>
      <c r="DA153" s="753"/>
      <c r="DB153" s="753"/>
      <c r="DC153" s="753"/>
      <c r="DD153" s="753"/>
      <c r="DE153" s="753"/>
      <c r="DF153" s="753"/>
      <c r="DG153" s="753"/>
      <c r="DH153" s="753"/>
      <c r="DI153" s="753"/>
      <c r="DJ153" s="753"/>
      <c r="DK153" s="753"/>
      <c r="DL153" s="753"/>
      <c r="DM153" s="776"/>
    </row>
    <row r="154" spans="1:118" s="758" customFormat="1">
      <c r="A154" s="780"/>
      <c r="B154" s="780"/>
      <c r="C154" s="780"/>
      <c r="D154" s="780"/>
      <c r="E154" s="780"/>
      <c r="F154" s="780"/>
      <c r="G154" s="780"/>
      <c r="H154" s="780"/>
      <c r="I154" s="780"/>
      <c r="J154" s="1063"/>
      <c r="K154" s="1063"/>
      <c r="L154" s="1063"/>
      <c r="M154" s="1127"/>
      <c r="N154" s="1039"/>
      <c r="O154" s="1039"/>
      <c r="P154" s="1130"/>
      <c r="Q154" s="1039"/>
      <c r="R154" s="1039"/>
      <c r="S154" s="1039"/>
      <c r="T154" s="1039"/>
      <c r="U154" s="1039"/>
      <c r="V154" s="1039"/>
      <c r="W154" s="1039"/>
      <c r="X154" s="1039"/>
      <c r="Y154" s="1039"/>
      <c r="Z154" s="1039"/>
      <c r="AI154" s="1034"/>
      <c r="AJ154" s="1034"/>
      <c r="AK154" s="1034"/>
      <c r="AL154" s="1034"/>
      <c r="AM154" s="1034"/>
      <c r="AN154" s="1034"/>
      <c r="AO154" s="1034"/>
      <c r="CN154" s="753"/>
      <c r="CO154" s="753"/>
      <c r="CP154" s="753"/>
      <c r="CQ154" s="753"/>
      <c r="CR154" s="753"/>
      <c r="CS154" s="753"/>
      <c r="CT154" s="753"/>
      <c r="CU154" s="753"/>
      <c r="CV154" s="753"/>
      <c r="CW154" s="753"/>
      <c r="CX154" s="753"/>
      <c r="CY154" s="753"/>
      <c r="CZ154" s="753"/>
      <c r="DA154" s="753"/>
      <c r="DB154" s="753"/>
      <c r="DC154" s="753"/>
      <c r="DD154" s="753"/>
      <c r="DE154" s="753"/>
      <c r="DF154" s="753"/>
      <c r="DG154" s="753"/>
      <c r="DH154" s="753"/>
      <c r="DI154" s="753"/>
      <c r="DJ154" s="753"/>
      <c r="DK154" s="753"/>
      <c r="DL154" s="753"/>
      <c r="DM154" s="776"/>
    </row>
    <row r="155" spans="1:118" s="758" customFormat="1">
      <c r="A155" s="780"/>
      <c r="B155" s="780"/>
      <c r="C155" s="780"/>
      <c r="D155" s="780"/>
      <c r="E155" s="780"/>
      <c r="F155" s="780"/>
      <c r="G155" s="780"/>
      <c r="H155" s="780"/>
      <c r="I155" s="780"/>
      <c r="J155" s="1063"/>
      <c r="K155" s="1063"/>
      <c r="L155" s="1063"/>
      <c r="M155" s="1127"/>
      <c r="N155" s="1039"/>
      <c r="O155" s="1039"/>
      <c r="P155" s="1130"/>
      <c r="Q155" s="1039"/>
      <c r="R155" s="1039"/>
      <c r="S155" s="1039"/>
      <c r="T155" s="1039"/>
      <c r="U155" s="1039"/>
      <c r="V155" s="1039"/>
      <c r="W155" s="1039"/>
      <c r="X155" s="1039"/>
      <c r="Y155" s="1039"/>
      <c r="Z155" s="1039"/>
      <c r="AI155" s="1034"/>
      <c r="AJ155" s="1034"/>
      <c r="AK155" s="1034"/>
      <c r="AL155" s="1034"/>
      <c r="AM155" s="1034"/>
      <c r="AN155" s="1034"/>
      <c r="AO155" s="1034"/>
      <c r="CN155" s="753"/>
      <c r="CO155" s="753"/>
      <c r="CP155" s="753"/>
      <c r="CQ155" s="753"/>
      <c r="CR155" s="753"/>
      <c r="CS155" s="753"/>
      <c r="CT155" s="753"/>
      <c r="CU155" s="753"/>
      <c r="CV155" s="753"/>
      <c r="CW155" s="753"/>
      <c r="CX155" s="753"/>
      <c r="CY155" s="753"/>
      <c r="CZ155" s="753"/>
      <c r="DA155" s="753"/>
      <c r="DB155" s="753"/>
      <c r="DC155" s="753"/>
      <c r="DD155" s="753"/>
      <c r="DE155" s="753"/>
      <c r="DF155" s="753"/>
      <c r="DG155" s="753"/>
      <c r="DH155" s="753"/>
      <c r="DI155" s="753"/>
      <c r="DJ155" s="753"/>
      <c r="DK155" s="753"/>
      <c r="DL155" s="753"/>
      <c r="DM155" s="776"/>
    </row>
    <row r="156" spans="1:118" s="758" customFormat="1">
      <c r="A156" s="780"/>
      <c r="B156" s="780"/>
      <c r="C156" s="780"/>
      <c r="D156" s="780"/>
      <c r="E156" s="780"/>
      <c r="F156" s="780"/>
      <c r="G156" s="780"/>
      <c r="H156" s="780"/>
      <c r="I156" s="780"/>
      <c r="J156" s="1063"/>
      <c r="K156" s="1063"/>
      <c r="L156" s="1063"/>
      <c r="M156" s="1127"/>
      <c r="N156" s="1039"/>
      <c r="O156" s="1039"/>
      <c r="P156" s="1130"/>
      <c r="Q156" s="1039"/>
      <c r="R156" s="1039"/>
      <c r="S156" s="1039"/>
      <c r="T156" s="1039"/>
      <c r="U156" s="1039"/>
      <c r="V156" s="1039"/>
      <c r="W156" s="1039"/>
      <c r="X156" s="1039"/>
      <c r="Y156" s="1039"/>
      <c r="Z156" s="1039"/>
      <c r="AI156" s="1034"/>
      <c r="AJ156" s="1034"/>
      <c r="AK156" s="1034"/>
      <c r="AL156" s="1034"/>
      <c r="AM156" s="1034"/>
      <c r="AN156" s="1034"/>
      <c r="AO156" s="1034"/>
      <c r="CN156" s="753"/>
      <c r="CO156" s="753"/>
      <c r="CP156" s="753"/>
      <c r="CQ156" s="753"/>
      <c r="CR156" s="753"/>
      <c r="CS156" s="753"/>
      <c r="CT156" s="753"/>
      <c r="CU156" s="753"/>
      <c r="CV156" s="753"/>
      <c r="CW156" s="753"/>
      <c r="CX156" s="753"/>
      <c r="CY156" s="753"/>
      <c r="CZ156" s="753"/>
      <c r="DA156" s="753"/>
      <c r="DB156" s="753"/>
      <c r="DC156" s="753"/>
      <c r="DD156" s="753"/>
      <c r="DE156" s="753"/>
      <c r="DF156" s="753"/>
      <c r="DG156" s="753"/>
      <c r="DH156" s="753"/>
      <c r="DI156" s="753"/>
      <c r="DJ156" s="753"/>
      <c r="DK156" s="753"/>
      <c r="DL156" s="753"/>
      <c r="DM156" s="776"/>
    </row>
    <row r="157" spans="1:118" s="758" customFormat="1">
      <c r="A157" s="780"/>
      <c r="B157" s="780"/>
      <c r="C157" s="780"/>
      <c r="D157" s="780"/>
      <c r="E157" s="780"/>
      <c r="F157" s="780"/>
      <c r="G157" s="780"/>
      <c r="H157" s="780"/>
      <c r="I157" s="780"/>
      <c r="J157" s="1063"/>
      <c r="K157" s="1063"/>
      <c r="L157" s="1063"/>
      <c r="M157" s="1127"/>
      <c r="N157" s="1039"/>
      <c r="O157" s="1039"/>
      <c r="P157" s="1130"/>
      <c r="Q157" s="1039"/>
      <c r="R157" s="1039"/>
      <c r="S157" s="1039"/>
      <c r="T157" s="1039"/>
      <c r="U157" s="1039"/>
      <c r="V157" s="1039"/>
      <c r="W157" s="1039"/>
      <c r="X157" s="1039"/>
      <c r="Y157" s="1039"/>
      <c r="Z157" s="1039"/>
      <c r="AI157" s="1034"/>
      <c r="AJ157" s="1034"/>
      <c r="AK157" s="1034"/>
      <c r="AL157" s="1034"/>
      <c r="AM157" s="1034"/>
      <c r="AN157" s="1034"/>
      <c r="AO157" s="1034"/>
      <c r="CN157" s="753"/>
      <c r="CO157" s="753"/>
      <c r="CP157" s="753"/>
      <c r="CQ157" s="753"/>
      <c r="CR157" s="753"/>
      <c r="CS157" s="753"/>
      <c r="CT157" s="753"/>
      <c r="CU157" s="753"/>
      <c r="CV157" s="753"/>
      <c r="CW157" s="753"/>
      <c r="CX157" s="753"/>
      <c r="CY157" s="753"/>
      <c r="CZ157" s="753"/>
      <c r="DA157" s="753"/>
      <c r="DB157" s="753"/>
      <c r="DC157" s="753"/>
      <c r="DD157" s="753"/>
      <c r="DE157" s="753"/>
      <c r="DF157" s="753"/>
      <c r="DG157" s="753"/>
      <c r="DH157" s="753"/>
      <c r="DI157" s="753"/>
      <c r="DJ157" s="753"/>
      <c r="DK157" s="753"/>
      <c r="DL157" s="753"/>
      <c r="DM157" s="776"/>
    </row>
    <row r="158" spans="1:118" s="758" customFormat="1">
      <c r="A158" s="780"/>
      <c r="B158" s="780"/>
      <c r="C158" s="780"/>
      <c r="D158" s="780"/>
      <c r="E158" s="780"/>
      <c r="F158" s="780"/>
      <c r="G158" s="780"/>
      <c r="H158" s="780"/>
      <c r="I158" s="780"/>
      <c r="J158" s="1063"/>
      <c r="K158" s="1063"/>
      <c r="L158" s="1063"/>
      <c r="M158" s="1127"/>
      <c r="N158" s="1039"/>
      <c r="O158" s="1039"/>
      <c r="P158" s="1130"/>
      <c r="Q158" s="1039"/>
      <c r="R158" s="1039"/>
      <c r="S158" s="1039"/>
      <c r="T158" s="1039"/>
      <c r="U158" s="1039"/>
      <c r="V158" s="1039"/>
      <c r="W158" s="1039"/>
      <c r="X158" s="1039"/>
      <c r="Y158" s="1039"/>
      <c r="Z158" s="1039"/>
      <c r="AI158" s="1034"/>
      <c r="AJ158" s="1034"/>
      <c r="AK158" s="1034"/>
      <c r="AL158" s="1034"/>
      <c r="AM158" s="1034"/>
      <c r="AN158" s="1034"/>
      <c r="AO158" s="1034"/>
      <c r="CN158" s="753"/>
      <c r="CO158" s="753"/>
      <c r="CP158" s="753"/>
      <c r="CQ158" s="753"/>
      <c r="CR158" s="753"/>
      <c r="CS158" s="753"/>
      <c r="CT158" s="753"/>
      <c r="CU158" s="753"/>
      <c r="CV158" s="753"/>
      <c r="CW158" s="753"/>
      <c r="CX158" s="753"/>
      <c r="CY158" s="753"/>
      <c r="CZ158" s="753"/>
      <c r="DA158" s="753"/>
      <c r="DB158" s="753"/>
      <c r="DC158" s="753"/>
      <c r="DD158" s="753"/>
      <c r="DE158" s="753"/>
      <c r="DF158" s="753"/>
      <c r="DG158" s="753"/>
      <c r="DH158" s="753"/>
      <c r="DI158" s="753"/>
      <c r="DJ158" s="753"/>
      <c r="DK158" s="753"/>
      <c r="DL158" s="753"/>
      <c r="DM158" s="776"/>
    </row>
    <row r="159" spans="1:118" s="758" customFormat="1">
      <c r="A159" s="780"/>
      <c r="B159" s="780"/>
      <c r="C159" s="780"/>
      <c r="D159" s="780"/>
      <c r="E159" s="780"/>
      <c r="F159" s="780"/>
      <c r="G159" s="780"/>
      <c r="H159" s="780"/>
      <c r="I159" s="780"/>
      <c r="J159" s="1063"/>
      <c r="K159" s="1063"/>
      <c r="L159" s="1063"/>
      <c r="M159" s="1081"/>
      <c r="N159" s="1151"/>
      <c r="O159" s="1130"/>
      <c r="P159" s="1130"/>
      <c r="Q159" s="1039"/>
      <c r="R159" s="1039"/>
      <c r="S159" s="1039"/>
      <c r="T159" s="1039"/>
      <c r="U159" s="1039"/>
      <c r="V159" s="1039"/>
      <c r="W159" s="1039"/>
      <c r="X159" s="1039"/>
      <c r="Y159" s="1039"/>
      <c r="Z159" s="1039"/>
      <c r="AI159" s="1034"/>
      <c r="AJ159" s="1034"/>
      <c r="AK159" s="1034"/>
      <c r="AL159" s="1034"/>
      <c r="AM159" s="1034"/>
      <c r="AN159" s="1034"/>
      <c r="AO159" s="1034"/>
      <c r="CN159" s="753"/>
      <c r="CO159" s="753"/>
      <c r="CP159" s="753"/>
      <c r="CQ159" s="753"/>
      <c r="CR159" s="753"/>
      <c r="CS159" s="753"/>
      <c r="CT159" s="753"/>
      <c r="CU159" s="753"/>
      <c r="CV159" s="753"/>
      <c r="CW159" s="753"/>
      <c r="CX159" s="753"/>
      <c r="CY159" s="753"/>
      <c r="CZ159" s="753"/>
      <c r="DA159" s="753"/>
      <c r="DB159" s="753"/>
      <c r="DC159" s="753"/>
      <c r="DD159" s="753"/>
      <c r="DE159" s="753"/>
      <c r="DF159" s="753"/>
      <c r="DG159" s="753"/>
      <c r="DH159" s="753"/>
      <c r="DI159" s="753"/>
      <c r="DJ159" s="753"/>
      <c r="DK159" s="753"/>
      <c r="DL159" s="753"/>
      <c r="DM159" s="776"/>
    </row>
    <row r="160" spans="1:118" s="758" customFormat="1">
      <c r="A160" s="780"/>
      <c r="B160" s="780"/>
      <c r="C160" s="780"/>
      <c r="D160" s="780"/>
      <c r="E160" s="780"/>
      <c r="F160" s="780"/>
      <c r="G160" s="780"/>
      <c r="H160" s="780"/>
      <c r="I160" s="780"/>
      <c r="J160" s="1063"/>
      <c r="K160" s="1063"/>
      <c r="L160" s="1063"/>
      <c r="M160" s="1081"/>
      <c r="N160" s="1151"/>
      <c r="O160" s="1130"/>
      <c r="P160" s="1130"/>
      <c r="Q160" s="1039"/>
      <c r="R160" s="1039"/>
      <c r="S160" s="1039"/>
      <c r="T160" s="1039"/>
      <c r="U160" s="1039"/>
      <c r="V160" s="1039"/>
      <c r="W160" s="1039"/>
      <c r="X160" s="1039"/>
      <c r="Y160" s="1039"/>
      <c r="Z160" s="1039"/>
      <c r="AI160" s="1034"/>
      <c r="AJ160" s="1034"/>
      <c r="AK160" s="1034"/>
      <c r="AL160" s="1034"/>
      <c r="AM160" s="1034"/>
      <c r="AN160" s="1034"/>
      <c r="AO160" s="1034"/>
      <c r="CN160" s="753"/>
      <c r="CO160" s="753"/>
      <c r="CP160" s="753"/>
      <c r="CQ160" s="753"/>
      <c r="CR160" s="753"/>
      <c r="CS160" s="753"/>
      <c r="CT160" s="753"/>
      <c r="CU160" s="753"/>
      <c r="CV160" s="753"/>
      <c r="CW160" s="753"/>
      <c r="CX160" s="753"/>
      <c r="CY160" s="753"/>
      <c r="CZ160" s="753"/>
      <c r="DA160" s="753"/>
      <c r="DB160" s="753"/>
      <c r="DC160" s="753"/>
      <c r="DD160" s="753"/>
      <c r="DE160" s="753"/>
      <c r="DF160" s="753"/>
      <c r="DG160" s="753"/>
      <c r="DH160" s="753"/>
      <c r="DI160" s="753"/>
      <c r="DJ160" s="753"/>
      <c r="DK160" s="753"/>
      <c r="DL160" s="753"/>
      <c r="DM160" s="776"/>
    </row>
    <row r="161" spans="1:117" s="758" customFormat="1">
      <c r="A161" s="780"/>
      <c r="B161" s="780"/>
      <c r="C161" s="780"/>
      <c r="D161" s="780"/>
      <c r="E161" s="780"/>
      <c r="F161" s="780"/>
      <c r="G161" s="780"/>
      <c r="H161" s="780"/>
      <c r="I161" s="780"/>
      <c r="J161" s="1063"/>
      <c r="K161" s="1063"/>
      <c r="L161" s="1063"/>
      <c r="M161" s="1081"/>
      <c r="N161" s="1151"/>
      <c r="O161" s="1130"/>
      <c r="P161" s="1130"/>
      <c r="Q161" s="1039"/>
      <c r="R161" s="1039"/>
      <c r="S161" s="1039"/>
      <c r="T161" s="1039"/>
      <c r="U161" s="1039"/>
      <c r="V161" s="1039"/>
      <c r="W161" s="1039"/>
      <c r="X161" s="1039"/>
      <c r="Y161" s="1039"/>
      <c r="Z161" s="1039"/>
      <c r="AI161" s="1034"/>
      <c r="AJ161" s="1034"/>
      <c r="AK161" s="1034"/>
      <c r="AL161" s="1034"/>
      <c r="AM161" s="1034"/>
      <c r="AN161" s="1034"/>
      <c r="AO161" s="1034"/>
      <c r="CN161" s="753"/>
      <c r="CO161" s="753"/>
      <c r="CP161" s="753"/>
      <c r="CQ161" s="753"/>
      <c r="CR161" s="753"/>
      <c r="CS161" s="753"/>
      <c r="CT161" s="753"/>
      <c r="CU161" s="753"/>
      <c r="CV161" s="753"/>
      <c r="CW161" s="753"/>
      <c r="CX161" s="753"/>
      <c r="CY161" s="753"/>
      <c r="CZ161" s="753"/>
      <c r="DA161" s="753"/>
      <c r="DB161" s="753"/>
      <c r="DC161" s="753"/>
      <c r="DD161" s="753"/>
      <c r="DE161" s="753"/>
      <c r="DF161" s="753"/>
      <c r="DG161" s="753"/>
      <c r="DH161" s="753"/>
      <c r="DI161" s="753"/>
      <c r="DJ161" s="753"/>
      <c r="DK161" s="753"/>
      <c r="DL161" s="753"/>
      <c r="DM161" s="776"/>
    </row>
    <row r="162" spans="1:117" s="758" customFormat="1">
      <c r="A162" s="780"/>
      <c r="B162" s="780"/>
      <c r="C162" s="780"/>
      <c r="D162" s="780"/>
      <c r="E162" s="780"/>
      <c r="F162" s="780"/>
      <c r="G162" s="780"/>
      <c r="H162" s="788"/>
      <c r="I162" s="789"/>
      <c r="J162" s="1063"/>
      <c r="K162" s="1063"/>
      <c r="L162" s="1063"/>
      <c r="M162" s="1081"/>
      <c r="N162" s="1151"/>
      <c r="O162" s="1130"/>
      <c r="P162" s="1130"/>
      <c r="Q162" s="1039"/>
      <c r="R162" s="1039"/>
      <c r="S162" s="1039"/>
      <c r="T162" s="1039"/>
      <c r="U162" s="1039"/>
      <c r="V162" s="1039"/>
      <c r="W162" s="1039"/>
      <c r="X162" s="1039"/>
      <c r="Y162" s="1039"/>
      <c r="Z162" s="1039"/>
      <c r="AI162" s="1034"/>
      <c r="AJ162" s="1034"/>
      <c r="AK162" s="1034"/>
      <c r="AL162" s="1034"/>
      <c r="AM162" s="1034"/>
      <c r="AN162" s="1034"/>
      <c r="AO162" s="1034"/>
      <c r="CN162" s="753"/>
      <c r="CO162" s="753"/>
      <c r="CP162" s="753"/>
      <c r="CQ162" s="753"/>
      <c r="CR162" s="753"/>
      <c r="CS162" s="753"/>
      <c r="CT162" s="753"/>
      <c r="CU162" s="753"/>
      <c r="CV162" s="753"/>
      <c r="CW162" s="753"/>
      <c r="CX162" s="753"/>
      <c r="CY162" s="753"/>
      <c r="CZ162" s="753"/>
      <c r="DA162" s="753"/>
      <c r="DB162" s="753"/>
      <c r="DC162" s="753"/>
      <c r="DD162" s="753"/>
      <c r="DE162" s="753"/>
      <c r="DF162" s="753"/>
      <c r="DG162" s="753"/>
      <c r="DH162" s="753"/>
      <c r="DI162" s="753"/>
      <c r="DJ162" s="753"/>
      <c r="DK162" s="753"/>
      <c r="DL162" s="753"/>
      <c r="DM162" s="776"/>
    </row>
    <row r="163" spans="1:117" s="758" customFormat="1">
      <c r="A163" s="780"/>
      <c r="B163" s="780"/>
      <c r="C163" s="780"/>
      <c r="D163" s="780"/>
      <c r="E163" s="780"/>
      <c r="F163" s="780"/>
      <c r="G163" s="780"/>
      <c r="H163" s="788"/>
      <c r="I163" s="790"/>
      <c r="J163" s="1063"/>
      <c r="K163" s="1063"/>
      <c r="L163" s="1063"/>
      <c r="M163" s="782"/>
      <c r="N163" s="1151"/>
      <c r="O163" s="1039"/>
      <c r="P163" s="783"/>
      <c r="Q163" s="1039"/>
      <c r="R163" s="1039"/>
      <c r="S163" s="1039"/>
      <c r="T163" s="1039"/>
      <c r="U163" s="1039"/>
      <c r="V163" s="1039"/>
      <c r="W163" s="1039"/>
      <c r="X163" s="1039"/>
      <c r="Y163" s="1039"/>
      <c r="Z163" s="1039"/>
      <c r="AI163" s="1034"/>
      <c r="AJ163" s="1034"/>
      <c r="AK163" s="1034"/>
      <c r="AL163" s="1034"/>
      <c r="AM163" s="1034"/>
      <c r="AN163" s="1034"/>
      <c r="AO163" s="1034"/>
      <c r="CN163" s="753"/>
      <c r="CO163" s="753"/>
      <c r="CP163" s="753"/>
      <c r="CQ163" s="753"/>
      <c r="CR163" s="753"/>
      <c r="CS163" s="753"/>
      <c r="CT163" s="753"/>
      <c r="CU163" s="753"/>
      <c r="CV163" s="753"/>
      <c r="CW163" s="753"/>
      <c r="CX163" s="753"/>
      <c r="CY163" s="753"/>
      <c r="CZ163" s="753"/>
      <c r="DA163" s="753"/>
      <c r="DB163" s="753"/>
      <c r="DC163" s="753"/>
      <c r="DD163" s="753"/>
      <c r="DE163" s="753"/>
      <c r="DF163" s="753"/>
      <c r="DG163" s="753"/>
      <c r="DH163" s="753"/>
      <c r="DI163" s="753"/>
      <c r="DJ163" s="753"/>
      <c r="DK163" s="753"/>
      <c r="DL163" s="753"/>
      <c r="DM163" s="776"/>
    </row>
    <row r="164" spans="1:117" s="758" customFormat="1">
      <c r="A164" s="780"/>
      <c r="B164" s="780"/>
      <c r="C164" s="780"/>
      <c r="D164" s="780"/>
      <c r="E164" s="780"/>
      <c r="F164" s="780"/>
      <c r="G164" s="780"/>
      <c r="H164" s="788"/>
      <c r="I164" s="769"/>
      <c r="J164" s="1063"/>
      <c r="K164" s="1063"/>
      <c r="L164" s="1063"/>
      <c r="M164" s="1081"/>
      <c r="N164" s="1090"/>
      <c r="O164" s="1130"/>
      <c r="P164" s="1130"/>
      <c r="Q164" s="1039"/>
      <c r="R164" s="1039"/>
      <c r="S164" s="1039"/>
      <c r="T164" s="1039"/>
      <c r="U164" s="1039"/>
      <c r="V164" s="1039"/>
      <c r="W164" s="1039"/>
      <c r="X164" s="1039"/>
      <c r="Y164" s="1039"/>
      <c r="Z164" s="1039"/>
      <c r="AI164" s="1034"/>
      <c r="AJ164" s="1034"/>
      <c r="AK164" s="1034"/>
      <c r="AL164" s="1034"/>
      <c r="AM164" s="1034"/>
      <c r="AN164" s="1034"/>
      <c r="AO164" s="1034"/>
      <c r="CN164" s="753"/>
      <c r="CO164" s="753"/>
      <c r="CP164" s="753"/>
      <c r="CQ164" s="753"/>
      <c r="CR164" s="753"/>
      <c r="CS164" s="753"/>
      <c r="CT164" s="753"/>
      <c r="CU164" s="753"/>
      <c r="CV164" s="753"/>
      <c r="CW164" s="753"/>
      <c r="CX164" s="753"/>
      <c r="CY164" s="753"/>
      <c r="CZ164" s="753"/>
      <c r="DA164" s="753"/>
      <c r="DB164" s="753"/>
      <c r="DC164" s="753"/>
      <c r="DD164" s="753"/>
      <c r="DE164" s="753"/>
      <c r="DF164" s="753"/>
      <c r="DG164" s="753"/>
      <c r="DH164" s="753"/>
      <c r="DI164" s="753"/>
      <c r="DJ164" s="753"/>
      <c r="DK164" s="753"/>
      <c r="DL164" s="753"/>
      <c r="DM164" s="776"/>
    </row>
    <row r="165" spans="1:117" s="758" customFormat="1">
      <c r="A165" s="792"/>
      <c r="B165" s="780"/>
      <c r="C165" s="780"/>
      <c r="D165" s="780"/>
      <c r="E165" s="780"/>
      <c r="F165" s="780"/>
      <c r="G165" s="780"/>
      <c r="H165" s="788"/>
      <c r="I165" s="791"/>
      <c r="J165" s="1063"/>
      <c r="K165" s="1063"/>
      <c r="L165" s="1063"/>
      <c r="M165" s="1081"/>
      <c r="N165" s="1090"/>
      <c r="O165" s="1130"/>
      <c r="P165" s="1130"/>
      <c r="Q165" s="1039"/>
      <c r="R165" s="1039"/>
      <c r="S165" s="1039"/>
      <c r="T165" s="1039"/>
      <c r="U165" s="1039"/>
      <c r="V165" s="1039"/>
      <c r="W165" s="1039"/>
      <c r="X165" s="1039"/>
      <c r="Y165" s="1039"/>
      <c r="Z165" s="1039"/>
      <c r="AI165" s="1034"/>
      <c r="AJ165" s="1034"/>
      <c r="AK165" s="1034"/>
      <c r="AL165" s="1034"/>
      <c r="AM165" s="1034"/>
      <c r="AN165" s="1034"/>
      <c r="AO165" s="1034"/>
      <c r="CN165" s="753"/>
      <c r="CO165" s="753"/>
      <c r="CP165" s="753"/>
      <c r="CQ165" s="753"/>
      <c r="CR165" s="753"/>
      <c r="CS165" s="753"/>
      <c r="CT165" s="753"/>
      <c r="CU165" s="753"/>
      <c r="CV165" s="753"/>
      <c r="CW165" s="753"/>
      <c r="CX165" s="753"/>
      <c r="CY165" s="753"/>
      <c r="CZ165" s="753"/>
      <c r="DA165" s="753"/>
      <c r="DB165" s="753"/>
      <c r="DC165" s="753"/>
      <c r="DD165" s="753"/>
      <c r="DE165" s="753"/>
      <c r="DF165" s="753"/>
      <c r="DG165" s="753"/>
      <c r="DH165" s="753"/>
      <c r="DI165" s="753"/>
      <c r="DJ165" s="753"/>
      <c r="DK165" s="753"/>
      <c r="DL165" s="753"/>
      <c r="DM165" s="776"/>
    </row>
    <row r="166" spans="1:117" s="758" customFormat="1" ht="15.75">
      <c r="A166" s="794"/>
      <c r="B166" s="780"/>
      <c r="C166" s="780"/>
      <c r="D166" s="780"/>
      <c r="E166" s="780"/>
      <c r="F166" s="780"/>
      <c r="G166" s="780"/>
      <c r="H166" s="784" t="s">
        <v>25</v>
      </c>
      <c r="I166" s="785" t="s">
        <v>25</v>
      </c>
      <c r="J166" s="1063"/>
      <c r="K166" s="1063"/>
      <c r="L166" s="811"/>
      <c r="M166" s="1081"/>
      <c r="N166" s="1151"/>
      <c r="O166" s="1130"/>
      <c r="P166" s="1130"/>
      <c r="Q166" s="1039"/>
      <c r="R166" s="1039"/>
      <c r="S166" s="1039"/>
      <c r="T166" s="1039"/>
      <c r="U166" s="1039"/>
      <c r="V166" s="1039"/>
      <c r="W166" s="1039"/>
      <c r="X166" s="1039"/>
      <c r="Y166" s="1039"/>
      <c r="Z166" s="1039"/>
      <c r="AI166" s="1034"/>
      <c r="AJ166" s="1034"/>
      <c r="AK166" s="1034"/>
      <c r="AL166" s="1034"/>
      <c r="AM166" s="1034"/>
      <c r="AN166" s="1034"/>
      <c r="AO166" s="1034"/>
      <c r="CN166" s="753"/>
      <c r="CO166" s="753"/>
      <c r="CP166" s="753"/>
      <c r="CQ166" s="753"/>
      <c r="CR166" s="753"/>
      <c r="CS166" s="753"/>
      <c r="CT166" s="753"/>
      <c r="CU166" s="753"/>
      <c r="CV166" s="753"/>
      <c r="CW166" s="753"/>
      <c r="CX166" s="753"/>
      <c r="CY166" s="753"/>
      <c r="CZ166" s="753"/>
      <c r="DA166" s="753"/>
      <c r="DB166" s="753"/>
      <c r="DC166" s="753"/>
      <c r="DD166" s="753"/>
      <c r="DE166" s="753"/>
      <c r="DF166" s="753"/>
      <c r="DG166" s="753"/>
      <c r="DH166" s="753"/>
      <c r="DI166" s="753"/>
      <c r="DJ166" s="753"/>
      <c r="DK166" s="753"/>
      <c r="DL166" s="753"/>
      <c r="DM166" s="776"/>
    </row>
    <row r="167" spans="1:117" s="758" customFormat="1" ht="15.75">
      <c r="A167" s="794"/>
      <c r="B167" s="780"/>
      <c r="C167" s="780"/>
      <c r="D167" s="780"/>
      <c r="E167" s="780"/>
      <c r="F167" s="780"/>
      <c r="G167" s="773"/>
      <c r="H167" s="780"/>
      <c r="I167" s="764" t="s">
        <v>25</v>
      </c>
      <c r="J167" s="1063"/>
      <c r="K167" s="1063"/>
      <c r="L167" s="1063"/>
      <c r="M167" s="1081"/>
      <c r="N167" s="1151"/>
      <c r="O167" s="1130"/>
      <c r="P167" s="1130"/>
      <c r="Q167" s="1039"/>
      <c r="R167" s="1039"/>
      <c r="S167" s="1039"/>
      <c r="T167" s="1039"/>
      <c r="U167" s="1039"/>
      <c r="V167" s="1039"/>
      <c r="W167" s="1039"/>
      <c r="X167" s="1039"/>
      <c r="Y167" s="1039"/>
      <c r="Z167" s="1039"/>
      <c r="AI167" s="1034"/>
      <c r="AJ167" s="1034"/>
      <c r="AK167" s="1034"/>
      <c r="AL167" s="1034"/>
      <c r="AM167" s="1034"/>
      <c r="AN167" s="1034"/>
      <c r="AO167" s="1034"/>
      <c r="CN167" s="753"/>
      <c r="CO167" s="753"/>
      <c r="CP167" s="753"/>
      <c r="CQ167" s="753"/>
      <c r="CR167" s="753"/>
      <c r="CS167" s="753"/>
      <c r="CT167" s="753"/>
      <c r="CU167" s="753"/>
      <c r="CV167" s="753"/>
      <c r="CW167" s="753"/>
      <c r="CX167" s="753"/>
      <c r="CY167" s="753"/>
      <c r="CZ167" s="753"/>
      <c r="DA167" s="753"/>
      <c r="DB167" s="753"/>
      <c r="DC167" s="753"/>
      <c r="DD167" s="753"/>
      <c r="DE167" s="753"/>
      <c r="DF167" s="753"/>
      <c r="DG167" s="753"/>
      <c r="DH167" s="753"/>
      <c r="DI167" s="753"/>
      <c r="DJ167" s="753"/>
      <c r="DK167" s="753"/>
      <c r="DL167" s="753"/>
      <c r="DM167" s="776"/>
    </row>
    <row r="168" spans="1:117" s="758" customFormat="1">
      <c r="A168" s="780"/>
      <c r="B168" s="780"/>
      <c r="C168" s="780"/>
      <c r="D168" s="780"/>
      <c r="E168" s="780"/>
      <c r="F168" s="780"/>
      <c r="G168" s="773"/>
      <c r="H168" s="801"/>
      <c r="I168" s="773"/>
      <c r="J168" s="1063"/>
      <c r="K168" s="1063"/>
      <c r="L168" s="1153"/>
      <c r="M168" s="1081"/>
      <c r="N168" s="1151"/>
      <c r="O168" s="1130"/>
      <c r="P168" s="1130"/>
      <c r="Q168" s="1039"/>
      <c r="R168" s="1039"/>
      <c r="S168" s="1039"/>
      <c r="T168" s="1039"/>
      <c r="U168" s="1039"/>
      <c r="V168" s="1039"/>
      <c r="W168" s="1039"/>
      <c r="X168" s="1039"/>
      <c r="Y168" s="1039"/>
      <c r="Z168" s="1039"/>
      <c r="AI168" s="1034"/>
      <c r="AJ168" s="1034"/>
      <c r="AK168" s="1034"/>
      <c r="AL168" s="1034"/>
      <c r="AM168" s="1034"/>
      <c r="AN168" s="1034"/>
      <c r="AO168" s="1034"/>
      <c r="CN168" s="753"/>
      <c r="CO168" s="753"/>
      <c r="CP168" s="753"/>
      <c r="CQ168" s="753"/>
      <c r="CR168" s="753"/>
      <c r="CS168" s="753"/>
      <c r="CT168" s="753"/>
      <c r="CU168" s="753"/>
      <c r="CV168" s="753"/>
      <c r="CW168" s="753"/>
      <c r="CX168" s="753"/>
      <c r="CY168" s="753"/>
      <c r="CZ168" s="753"/>
      <c r="DA168" s="753"/>
      <c r="DB168" s="753"/>
      <c r="DC168" s="753"/>
      <c r="DD168" s="753"/>
      <c r="DE168" s="753"/>
      <c r="DF168" s="753"/>
      <c r="DG168" s="753"/>
      <c r="DH168" s="753"/>
      <c r="DI168" s="753"/>
      <c r="DJ168" s="753"/>
      <c r="DK168" s="753"/>
      <c r="DL168" s="753"/>
      <c r="DM168" s="776"/>
    </row>
    <row r="169" spans="1:117" s="758" customFormat="1">
      <c r="A169" s="796"/>
      <c r="B169" s="774"/>
      <c r="C169" s="773"/>
      <c r="D169" s="804"/>
      <c r="E169" s="773"/>
      <c r="F169" s="773"/>
      <c r="G169" s="773"/>
      <c r="H169" s="797"/>
      <c r="I169" s="787"/>
      <c r="J169" s="1063"/>
      <c r="K169" s="1063"/>
      <c r="L169" s="1081"/>
      <c r="M169" s="782"/>
      <c r="N169" s="1151"/>
      <c r="O169" s="1039"/>
      <c r="P169" s="783"/>
      <c r="Q169" s="1039"/>
      <c r="R169" s="1039"/>
      <c r="S169" s="1039"/>
      <c r="T169" s="1039"/>
      <c r="U169" s="1039"/>
      <c r="V169" s="1039"/>
      <c r="W169" s="1039"/>
      <c r="X169" s="1039"/>
      <c r="Y169" s="1039"/>
      <c r="Z169" s="1039"/>
      <c r="AI169" s="1034"/>
      <c r="AJ169" s="1034"/>
      <c r="AK169" s="1034"/>
      <c r="AL169" s="1034"/>
      <c r="AM169" s="1034"/>
      <c r="AN169" s="1034"/>
      <c r="AO169" s="1034"/>
      <c r="CN169" s="753"/>
      <c r="CO169" s="753"/>
      <c r="CP169" s="753"/>
      <c r="CQ169" s="753"/>
      <c r="CR169" s="753"/>
      <c r="CS169" s="753"/>
      <c r="CT169" s="753"/>
      <c r="CU169" s="753"/>
      <c r="CV169" s="753"/>
      <c r="CW169" s="753"/>
      <c r="CX169" s="753"/>
      <c r="CY169" s="753"/>
      <c r="CZ169" s="753"/>
      <c r="DA169" s="753"/>
      <c r="DB169" s="753"/>
      <c r="DC169" s="753"/>
      <c r="DD169" s="753"/>
      <c r="DE169" s="753"/>
      <c r="DF169" s="753"/>
      <c r="DG169" s="753"/>
      <c r="DH169" s="753"/>
      <c r="DI169" s="753"/>
      <c r="DJ169" s="753"/>
      <c r="DK169" s="753"/>
      <c r="DL169" s="753"/>
      <c r="DM169" s="776"/>
    </row>
    <row r="170" spans="1:117" s="758" customFormat="1">
      <c r="A170" s="798"/>
      <c r="B170" s="800"/>
      <c r="C170" s="773"/>
      <c r="D170" s="804"/>
      <c r="E170" s="773"/>
      <c r="F170" s="773"/>
      <c r="G170" s="773"/>
      <c r="H170" s="797"/>
      <c r="I170" s="787"/>
      <c r="J170" s="1063"/>
      <c r="K170" s="1063"/>
      <c r="L170" s="1149"/>
      <c r="M170" s="782"/>
      <c r="N170" s="1137"/>
      <c r="O170" s="1039"/>
      <c r="P170" s="783"/>
      <c r="Q170" s="1039"/>
      <c r="R170" s="1039"/>
      <c r="S170" s="1039"/>
      <c r="T170" s="1039"/>
      <c r="U170" s="1039"/>
      <c r="V170" s="1039"/>
      <c r="W170" s="1039"/>
      <c r="X170" s="1039"/>
      <c r="Y170" s="1039"/>
      <c r="Z170" s="1039"/>
      <c r="AI170" s="1034"/>
      <c r="AJ170" s="1034"/>
      <c r="AK170" s="1034"/>
      <c r="AL170" s="1034"/>
      <c r="AM170" s="1034"/>
      <c r="AN170" s="1034"/>
      <c r="AO170" s="1034"/>
      <c r="CN170" s="753"/>
      <c r="CO170" s="753"/>
      <c r="CP170" s="753"/>
      <c r="CQ170" s="753"/>
      <c r="CR170" s="753"/>
      <c r="CS170" s="753"/>
      <c r="CT170" s="753"/>
      <c r="CU170" s="753"/>
      <c r="CV170" s="753"/>
      <c r="CW170" s="753"/>
      <c r="CX170" s="753"/>
      <c r="CY170" s="753"/>
      <c r="CZ170" s="753"/>
      <c r="DA170" s="753"/>
      <c r="DB170" s="753"/>
      <c r="DC170" s="753"/>
      <c r="DD170" s="753"/>
      <c r="DE170" s="753"/>
      <c r="DF170" s="753"/>
      <c r="DG170" s="753"/>
      <c r="DH170" s="753"/>
      <c r="DI170" s="753"/>
      <c r="DJ170" s="753"/>
      <c r="DK170" s="753"/>
      <c r="DL170" s="753"/>
      <c r="DM170" s="776"/>
    </row>
    <row r="171" spans="1:117" s="758" customFormat="1">
      <c r="A171" s="798"/>
      <c r="B171" s="800"/>
      <c r="C171" s="773"/>
      <c r="D171" s="804"/>
      <c r="E171" s="773"/>
      <c r="F171" s="773"/>
      <c r="G171" s="773"/>
      <c r="H171" s="780"/>
      <c r="I171" s="764"/>
      <c r="J171" s="1063"/>
      <c r="K171" s="1063"/>
      <c r="L171" s="1081"/>
      <c r="M171" s="782"/>
      <c r="N171" s="1151"/>
      <c r="O171" s="1039"/>
      <c r="P171" s="1127"/>
      <c r="Q171" s="1039"/>
      <c r="R171" s="1039"/>
      <c r="S171" s="1039"/>
      <c r="T171" s="1039"/>
      <c r="U171" s="1039"/>
      <c r="V171" s="1039"/>
      <c r="W171" s="1039"/>
      <c r="X171" s="1039"/>
      <c r="Y171" s="1039"/>
      <c r="Z171" s="1039"/>
      <c r="AI171" s="1034"/>
      <c r="AJ171" s="1034"/>
      <c r="AK171" s="1034"/>
      <c r="AL171" s="1034"/>
      <c r="AM171" s="1034"/>
      <c r="AN171" s="1034"/>
      <c r="AO171" s="1034"/>
      <c r="CN171" s="753"/>
      <c r="CO171" s="753"/>
      <c r="CP171" s="753"/>
      <c r="CQ171" s="753"/>
      <c r="CR171" s="753"/>
      <c r="CS171" s="753"/>
      <c r="CT171" s="753"/>
      <c r="CU171" s="753"/>
      <c r="CV171" s="753"/>
      <c r="CW171" s="753"/>
      <c r="CX171" s="753"/>
      <c r="CY171" s="753"/>
      <c r="CZ171" s="753"/>
      <c r="DA171" s="753"/>
      <c r="DB171" s="753"/>
      <c r="DC171" s="753"/>
      <c r="DD171" s="753"/>
      <c r="DE171" s="753"/>
      <c r="DF171" s="753"/>
      <c r="DG171" s="753"/>
      <c r="DH171" s="753"/>
      <c r="DI171" s="753"/>
      <c r="DJ171" s="753"/>
      <c r="DK171" s="753"/>
      <c r="DL171" s="753"/>
      <c r="DM171" s="776"/>
    </row>
    <row r="172" spans="1:117" s="758" customFormat="1" ht="16.5">
      <c r="A172" s="794"/>
      <c r="B172" s="799"/>
      <c r="C172" s="795"/>
      <c r="D172" s="780"/>
      <c r="E172" s="773"/>
      <c r="F172" s="773"/>
      <c r="G172" s="773"/>
      <c r="H172" s="773"/>
      <c r="I172" s="764"/>
      <c r="J172" s="1063"/>
      <c r="K172" s="1063"/>
      <c r="L172" s="1148"/>
      <c r="M172" s="1081"/>
      <c r="N172" s="1137"/>
      <c r="O172" s="1130"/>
      <c r="P172" s="1130"/>
      <c r="Q172" s="1039"/>
      <c r="R172" s="1039"/>
      <c r="S172" s="1039"/>
      <c r="T172" s="1039"/>
      <c r="U172" s="1039"/>
      <c r="V172" s="1039"/>
      <c r="W172" s="1039"/>
      <c r="X172" s="1039"/>
      <c r="Y172" s="1039"/>
      <c r="Z172" s="1039"/>
      <c r="AI172" s="1034"/>
      <c r="AJ172" s="1034"/>
      <c r="AK172" s="1034"/>
      <c r="AL172" s="1034"/>
      <c r="AM172" s="1034"/>
      <c r="AN172" s="1034"/>
      <c r="AO172" s="1034"/>
      <c r="CN172" s="753"/>
      <c r="CO172" s="753"/>
      <c r="CP172" s="753"/>
      <c r="CQ172" s="753"/>
      <c r="CR172" s="753"/>
      <c r="CS172" s="753"/>
      <c r="CT172" s="753"/>
      <c r="CU172" s="753"/>
      <c r="CV172" s="753"/>
      <c r="CW172" s="753"/>
      <c r="CX172" s="753"/>
      <c r="CY172" s="753"/>
      <c r="CZ172" s="753"/>
      <c r="DA172" s="753"/>
      <c r="DB172" s="753"/>
      <c r="DC172" s="753"/>
      <c r="DD172" s="753"/>
      <c r="DE172" s="753"/>
      <c r="DF172" s="753"/>
      <c r="DG172" s="753"/>
      <c r="DH172" s="753"/>
      <c r="DI172" s="753"/>
      <c r="DJ172" s="753"/>
      <c r="DK172" s="753"/>
      <c r="DL172" s="753"/>
      <c r="DM172" s="776"/>
    </row>
    <row r="173" spans="1:117" s="758" customFormat="1">
      <c r="A173" s="798"/>
      <c r="B173" s="799"/>
      <c r="C173" s="780"/>
      <c r="D173" s="780"/>
      <c r="E173" s="780"/>
      <c r="F173" s="780"/>
      <c r="G173" s="780"/>
      <c r="H173" s="773"/>
      <c r="I173" s="764"/>
      <c r="J173" s="1063"/>
      <c r="K173" s="1063"/>
      <c r="L173" s="1081"/>
      <c r="M173" s="1081"/>
      <c r="N173" s="1137"/>
      <c r="O173" s="1130"/>
      <c r="P173" s="1130"/>
      <c r="Q173" s="1039"/>
      <c r="R173" s="1039"/>
      <c r="S173" s="1039"/>
      <c r="T173" s="1039"/>
      <c r="U173" s="1039"/>
      <c r="V173" s="1039"/>
      <c r="W173" s="1039"/>
      <c r="X173" s="1039"/>
      <c r="Y173" s="1039"/>
      <c r="Z173" s="1039"/>
      <c r="AI173" s="1034"/>
      <c r="AJ173" s="1034"/>
      <c r="AK173" s="1034"/>
      <c r="AL173" s="1034"/>
      <c r="AM173" s="1034"/>
      <c r="AN173" s="1034"/>
      <c r="AO173" s="1034"/>
      <c r="CN173" s="753"/>
      <c r="CO173" s="753"/>
      <c r="CP173" s="753"/>
      <c r="CQ173" s="753"/>
      <c r="CR173" s="753"/>
      <c r="CS173" s="753"/>
      <c r="CT173" s="753"/>
      <c r="CU173" s="753"/>
      <c r="CV173" s="753"/>
      <c r="CW173" s="753"/>
      <c r="CX173" s="753"/>
      <c r="CY173" s="753"/>
      <c r="CZ173" s="753"/>
      <c r="DA173" s="753"/>
      <c r="DB173" s="753"/>
      <c r="DC173" s="753"/>
      <c r="DD173" s="753"/>
      <c r="DE173" s="753"/>
      <c r="DF173" s="753"/>
      <c r="DG173" s="753"/>
      <c r="DH173" s="753"/>
      <c r="DI173" s="753"/>
      <c r="DJ173" s="753"/>
      <c r="DK173" s="753"/>
      <c r="DL173" s="753"/>
      <c r="DM173" s="776"/>
    </row>
    <row r="174" spans="1:117" s="758" customFormat="1">
      <c r="A174" s="798"/>
      <c r="B174" s="799"/>
      <c r="C174" s="780"/>
      <c r="D174" s="780"/>
      <c r="E174" s="780"/>
      <c r="F174" s="780"/>
      <c r="G174" s="780"/>
      <c r="H174" s="773"/>
      <c r="I174" s="764"/>
      <c r="J174" s="1063"/>
      <c r="K174" s="1063"/>
      <c r="L174" s="1149"/>
      <c r="M174" s="782"/>
      <c r="N174" s="1151"/>
      <c r="O174" s="1039"/>
      <c r="P174" s="783"/>
      <c r="Q174" s="1039"/>
      <c r="R174" s="1039"/>
      <c r="S174" s="1039"/>
      <c r="T174" s="1039"/>
      <c r="U174" s="1039"/>
      <c r="V174" s="1039"/>
      <c r="W174" s="1039"/>
      <c r="X174" s="1039"/>
      <c r="Y174" s="1039"/>
      <c r="Z174" s="1039"/>
      <c r="AI174" s="1034"/>
      <c r="AJ174" s="1034"/>
      <c r="AK174" s="1034"/>
      <c r="AL174" s="1034"/>
      <c r="AM174" s="1034"/>
      <c r="AN174" s="1034"/>
      <c r="AO174" s="1034"/>
      <c r="CN174" s="753"/>
      <c r="CO174" s="753"/>
      <c r="CP174" s="753"/>
      <c r="CQ174" s="753"/>
      <c r="CR174" s="753"/>
      <c r="CS174" s="753"/>
      <c r="CT174" s="753"/>
      <c r="CU174" s="753"/>
      <c r="CV174" s="753"/>
      <c r="CW174" s="753"/>
      <c r="CX174" s="753"/>
      <c r="CY174" s="753"/>
      <c r="CZ174" s="753"/>
      <c r="DA174" s="753"/>
      <c r="DB174" s="753"/>
      <c r="DC174" s="753"/>
      <c r="DD174" s="753"/>
      <c r="DE174" s="753"/>
      <c r="DF174" s="753"/>
      <c r="DG174" s="753"/>
      <c r="DH174" s="753"/>
      <c r="DI174" s="753"/>
      <c r="DJ174" s="753"/>
      <c r="DK174" s="753"/>
      <c r="DL174" s="753"/>
      <c r="DM174" s="776"/>
    </row>
    <row r="175" spans="1:117" s="758" customFormat="1" ht="15.75">
      <c r="A175" s="794"/>
      <c r="B175" s="800"/>
      <c r="C175" s="780"/>
      <c r="D175" s="780"/>
      <c r="E175" s="780"/>
      <c r="F175" s="780"/>
      <c r="G175" s="780"/>
      <c r="H175" s="773"/>
      <c r="I175" s="764"/>
      <c r="J175" s="1063"/>
      <c r="K175" s="1063"/>
      <c r="L175" s="813"/>
      <c r="M175" s="1081"/>
      <c r="N175" s="1083"/>
      <c r="O175" s="1130"/>
      <c r="P175" s="1063"/>
      <c r="Q175" s="1039"/>
      <c r="R175" s="1039"/>
      <c r="S175" s="1039"/>
      <c r="T175" s="1039"/>
      <c r="U175" s="1039"/>
      <c r="V175" s="1039"/>
      <c r="W175" s="1039"/>
      <c r="X175" s="1039"/>
      <c r="Y175" s="1039"/>
      <c r="Z175" s="1039"/>
      <c r="AI175" s="1034"/>
      <c r="AJ175" s="1034"/>
      <c r="AK175" s="1034"/>
      <c r="AL175" s="1034"/>
      <c r="AM175" s="1034"/>
      <c r="AN175" s="1034"/>
      <c r="AO175" s="1034"/>
      <c r="CN175" s="753"/>
      <c r="CO175" s="753"/>
      <c r="CP175" s="753"/>
      <c r="CQ175" s="753"/>
      <c r="CR175" s="753"/>
      <c r="CS175" s="753"/>
      <c r="CT175" s="753"/>
      <c r="CU175" s="753"/>
      <c r="CV175" s="753"/>
      <c r="CW175" s="753"/>
      <c r="CX175" s="753"/>
      <c r="CY175" s="753"/>
      <c r="CZ175" s="753"/>
      <c r="DA175" s="753"/>
      <c r="DB175" s="753"/>
      <c r="DC175" s="753"/>
      <c r="DD175" s="753"/>
      <c r="DE175" s="753"/>
      <c r="DF175" s="753"/>
      <c r="DG175" s="753"/>
      <c r="DH175" s="753"/>
      <c r="DI175" s="753"/>
      <c r="DJ175" s="753"/>
      <c r="DK175" s="753"/>
      <c r="DL175" s="753"/>
      <c r="DM175" s="776"/>
    </row>
    <row r="176" spans="1:117" s="758" customFormat="1" ht="15.75">
      <c r="A176" s="794"/>
      <c r="B176" s="800"/>
      <c r="C176" s="780"/>
      <c r="D176" s="780"/>
      <c r="E176" s="780"/>
      <c r="F176" s="780"/>
      <c r="G176" s="773"/>
      <c r="H176" s="780"/>
      <c r="I176" s="788"/>
      <c r="J176" s="1063"/>
      <c r="K176" s="1063"/>
      <c r="L176" s="1063"/>
      <c r="M176" s="1063"/>
      <c r="N176" s="1039"/>
      <c r="O176" s="1039"/>
      <c r="P176" s="1063"/>
      <c r="Q176" s="1039"/>
      <c r="R176" s="1039"/>
      <c r="S176" s="1039"/>
      <c r="T176" s="1039"/>
      <c r="U176" s="1039"/>
      <c r="V176" s="1039"/>
      <c r="W176" s="1039"/>
      <c r="X176" s="1039"/>
      <c r="Y176" s="1039"/>
      <c r="Z176" s="1039"/>
      <c r="AI176" s="1034"/>
      <c r="AJ176" s="1034"/>
      <c r="AK176" s="1034"/>
      <c r="AL176" s="1034"/>
      <c r="AM176" s="1034"/>
      <c r="AN176" s="1034"/>
      <c r="AO176" s="1034"/>
      <c r="CN176" s="753"/>
      <c r="CO176" s="753"/>
      <c r="CP176" s="753"/>
      <c r="CQ176" s="753"/>
      <c r="CR176" s="753"/>
      <c r="CS176" s="753"/>
      <c r="CT176" s="753"/>
      <c r="CU176" s="753"/>
      <c r="CV176" s="753"/>
      <c r="CW176" s="753"/>
      <c r="CX176" s="753"/>
      <c r="CY176" s="753"/>
      <c r="CZ176" s="753"/>
      <c r="DA176" s="753"/>
      <c r="DB176" s="753"/>
      <c r="DC176" s="753"/>
      <c r="DD176" s="753"/>
      <c r="DE176" s="753"/>
      <c r="DF176" s="753"/>
      <c r="DG176" s="753"/>
      <c r="DH176" s="753"/>
      <c r="DI176" s="753"/>
      <c r="DJ176" s="753"/>
      <c r="DK176" s="753"/>
      <c r="DL176" s="753"/>
      <c r="DM176" s="776"/>
    </row>
    <row r="177" spans="1:118" s="758" customFormat="1">
      <c r="A177" s="780"/>
      <c r="B177" s="780"/>
      <c r="C177" s="780"/>
      <c r="D177" s="780"/>
      <c r="E177" s="780"/>
      <c r="F177" s="780"/>
      <c r="G177" s="773"/>
      <c r="H177" s="797"/>
      <c r="I177" s="787"/>
      <c r="J177" s="1063"/>
      <c r="K177" s="1063"/>
      <c r="L177" s="1063"/>
      <c r="M177" s="1127"/>
      <c r="N177" s="1039"/>
      <c r="O177" s="1039"/>
      <c r="P177" s="814"/>
      <c r="Q177" s="1039"/>
      <c r="R177" s="1039"/>
      <c r="S177" s="1039"/>
      <c r="T177" s="1039"/>
      <c r="U177" s="1039"/>
      <c r="V177" s="1039"/>
      <c r="W177" s="1039"/>
      <c r="X177" s="1039"/>
      <c r="Y177" s="1039"/>
      <c r="Z177" s="1039"/>
      <c r="AI177" s="1034"/>
      <c r="AJ177" s="1034"/>
      <c r="AK177" s="1034"/>
      <c r="AL177" s="1034"/>
      <c r="AM177" s="1034"/>
      <c r="AN177" s="1034"/>
      <c r="AO177" s="1034"/>
      <c r="CN177" s="753"/>
      <c r="CO177" s="753"/>
      <c r="CP177" s="753"/>
      <c r="CQ177" s="753"/>
      <c r="CR177" s="753"/>
      <c r="CS177" s="753"/>
      <c r="CT177" s="753"/>
      <c r="CU177" s="753"/>
      <c r="CV177" s="753"/>
      <c r="CW177" s="753"/>
      <c r="CX177" s="753"/>
      <c r="CY177" s="753"/>
      <c r="CZ177" s="753"/>
      <c r="DA177" s="753"/>
      <c r="DB177" s="753"/>
      <c r="DC177" s="753"/>
      <c r="DD177" s="753"/>
      <c r="DE177" s="753"/>
      <c r="DF177" s="753"/>
      <c r="DG177" s="753"/>
      <c r="DH177" s="753"/>
      <c r="DI177" s="753"/>
      <c r="DJ177" s="753"/>
      <c r="DK177" s="753"/>
      <c r="DL177" s="753"/>
      <c r="DM177" s="776"/>
    </row>
    <row r="178" spans="1:118" s="758" customFormat="1">
      <c r="A178" s="780"/>
      <c r="B178" s="780"/>
      <c r="C178" s="780"/>
      <c r="D178" s="780"/>
      <c r="E178" s="780"/>
      <c r="F178" s="780"/>
      <c r="G178" s="780"/>
      <c r="H178" s="797"/>
      <c r="I178" s="787"/>
      <c r="J178" s="1063"/>
      <c r="K178" s="1063"/>
      <c r="L178" s="1063"/>
      <c r="M178" s="1081"/>
      <c r="N178" s="1083"/>
      <c r="O178" s="1130"/>
      <c r="P178" s="1130"/>
      <c r="Q178" s="1039"/>
      <c r="R178" s="1039"/>
      <c r="S178" s="1039"/>
      <c r="T178" s="1039"/>
      <c r="U178" s="1039"/>
      <c r="V178" s="1039"/>
      <c r="W178" s="1039"/>
      <c r="X178" s="1039"/>
      <c r="Y178" s="1039"/>
      <c r="Z178" s="1039"/>
      <c r="AI178" s="1034"/>
      <c r="AJ178" s="1034"/>
      <c r="AK178" s="1034"/>
      <c r="AL178" s="1034"/>
      <c r="AM178" s="1034"/>
      <c r="AN178" s="1034"/>
      <c r="AO178" s="1034"/>
      <c r="CN178" s="753"/>
      <c r="CO178" s="753"/>
      <c r="CP178" s="753"/>
      <c r="CQ178" s="753"/>
      <c r="CR178" s="753"/>
      <c r="CS178" s="753"/>
      <c r="CT178" s="753"/>
      <c r="CU178" s="753"/>
      <c r="CV178" s="753"/>
      <c r="CW178" s="753"/>
      <c r="CX178" s="753"/>
      <c r="CY178" s="753"/>
      <c r="CZ178" s="753"/>
      <c r="DA178" s="753"/>
      <c r="DB178" s="753"/>
      <c r="DC178" s="753"/>
      <c r="DD178" s="753"/>
      <c r="DE178" s="753"/>
      <c r="DF178" s="753"/>
      <c r="DG178" s="753"/>
      <c r="DH178" s="753"/>
      <c r="DI178" s="753"/>
      <c r="DJ178" s="753"/>
      <c r="DK178" s="753"/>
      <c r="DL178" s="753"/>
      <c r="DM178" s="776"/>
    </row>
    <row r="179" spans="1:118" s="758" customFormat="1">
      <c r="A179" s="796"/>
      <c r="B179" s="774"/>
      <c r="C179" s="773"/>
      <c r="D179" s="804"/>
      <c r="E179" s="773"/>
      <c r="F179" s="773"/>
      <c r="G179" s="773"/>
      <c r="H179" s="801"/>
      <c r="I179" s="764"/>
      <c r="J179" s="1063"/>
      <c r="K179" s="1063"/>
      <c r="L179" s="1063"/>
      <c r="M179" s="1081"/>
      <c r="N179" s="1083"/>
      <c r="O179" s="1130"/>
      <c r="P179" s="1130"/>
      <c r="Q179" s="1039"/>
      <c r="R179" s="1039"/>
      <c r="S179" s="1039"/>
      <c r="T179" s="1039"/>
      <c r="U179" s="1039"/>
      <c r="V179" s="1039"/>
      <c r="W179" s="1039"/>
      <c r="X179" s="1039"/>
      <c r="Y179" s="1039"/>
      <c r="Z179" s="1039"/>
      <c r="AI179" s="1034"/>
      <c r="AJ179" s="1034"/>
      <c r="AK179" s="1034"/>
      <c r="AL179" s="1034"/>
      <c r="AM179" s="1034"/>
      <c r="AN179" s="1034"/>
      <c r="AO179" s="1034"/>
      <c r="CN179" s="753"/>
      <c r="CO179" s="753"/>
      <c r="CP179" s="753"/>
      <c r="CQ179" s="753"/>
      <c r="CR179" s="753"/>
      <c r="CS179" s="753"/>
      <c r="CT179" s="753"/>
      <c r="CU179" s="753"/>
      <c r="CV179" s="753"/>
      <c r="CW179" s="753"/>
      <c r="CX179" s="753"/>
      <c r="CY179" s="753"/>
      <c r="CZ179" s="753"/>
      <c r="DA179" s="753"/>
      <c r="DB179" s="753"/>
      <c r="DC179" s="753"/>
      <c r="DD179" s="753"/>
      <c r="DE179" s="753"/>
      <c r="DF179" s="753"/>
      <c r="DG179" s="753"/>
      <c r="DH179" s="753"/>
      <c r="DI179" s="753"/>
      <c r="DJ179" s="753"/>
      <c r="DK179" s="753"/>
      <c r="DL179" s="753"/>
      <c r="DM179" s="776"/>
    </row>
    <row r="180" spans="1:118" s="758" customFormat="1">
      <c r="A180" s="798"/>
      <c r="B180" s="800"/>
      <c r="C180" s="773"/>
      <c r="D180" s="804"/>
      <c r="E180" s="773"/>
      <c r="F180" s="773"/>
      <c r="G180" s="773"/>
      <c r="H180" s="780"/>
      <c r="I180" s="788"/>
      <c r="J180" s="1063"/>
      <c r="K180" s="1063"/>
      <c r="L180" s="1063"/>
      <c r="M180" s="1081"/>
      <c r="N180" s="1083"/>
      <c r="O180" s="1130"/>
      <c r="P180" s="1130"/>
      <c r="Q180" s="1039"/>
      <c r="R180" s="1039"/>
      <c r="S180" s="1039"/>
      <c r="T180" s="1039"/>
      <c r="U180" s="1039"/>
      <c r="V180" s="1039"/>
      <c r="W180" s="1039"/>
      <c r="X180" s="1039"/>
      <c r="Y180" s="1039"/>
      <c r="Z180" s="1039"/>
      <c r="AI180" s="1034"/>
      <c r="AJ180" s="1034"/>
      <c r="AK180" s="1034"/>
      <c r="AL180" s="1034"/>
      <c r="AM180" s="1034"/>
      <c r="AN180" s="1034"/>
      <c r="AO180" s="1034"/>
      <c r="CN180" s="753"/>
      <c r="CO180" s="753"/>
      <c r="CP180" s="753"/>
      <c r="CQ180" s="753"/>
      <c r="CR180" s="753"/>
      <c r="CS180" s="753"/>
      <c r="CT180" s="753"/>
      <c r="CU180" s="753"/>
      <c r="CV180" s="753"/>
      <c r="CW180" s="753"/>
      <c r="CX180" s="753"/>
      <c r="CY180" s="753"/>
      <c r="CZ180" s="753"/>
      <c r="DA180" s="753"/>
      <c r="DB180" s="753"/>
      <c r="DC180" s="753"/>
      <c r="DD180" s="753"/>
      <c r="DE180" s="753"/>
      <c r="DF180" s="753"/>
      <c r="DG180" s="753"/>
      <c r="DH180" s="753"/>
      <c r="DI180" s="753"/>
      <c r="DJ180" s="753"/>
      <c r="DK180" s="753"/>
      <c r="DL180" s="753"/>
      <c r="DM180" s="776"/>
    </row>
    <row r="181" spans="1:118" s="758" customFormat="1">
      <c r="A181" s="798"/>
      <c r="B181" s="800"/>
      <c r="C181" s="773"/>
      <c r="D181" s="804"/>
      <c r="E181" s="773"/>
      <c r="F181" s="773"/>
      <c r="G181" s="773"/>
      <c r="H181" s="784"/>
      <c r="I181" s="785"/>
      <c r="J181" s="1063"/>
      <c r="K181" s="1063"/>
      <c r="L181" s="1063"/>
      <c r="M181" s="1081"/>
      <c r="N181" s="1083"/>
      <c r="O181" s="1130"/>
      <c r="P181" s="1130"/>
      <c r="Q181" s="1039"/>
      <c r="R181" s="1039"/>
      <c r="S181" s="1039"/>
      <c r="T181" s="1039"/>
      <c r="U181" s="1039"/>
      <c r="V181" s="1039"/>
      <c r="W181" s="1039"/>
      <c r="X181" s="1039"/>
      <c r="Y181" s="1039"/>
      <c r="Z181" s="1039"/>
      <c r="AI181" s="1034"/>
      <c r="AJ181" s="1034"/>
      <c r="AK181" s="1034"/>
      <c r="AL181" s="1034"/>
      <c r="AM181" s="1034"/>
      <c r="AN181" s="1034"/>
      <c r="AO181" s="1034"/>
      <c r="CN181" s="753"/>
      <c r="CO181" s="753"/>
      <c r="CP181" s="753"/>
      <c r="CQ181" s="753"/>
      <c r="CR181" s="753"/>
      <c r="CS181" s="753"/>
      <c r="CT181" s="753"/>
      <c r="CU181" s="753"/>
      <c r="CV181" s="753"/>
      <c r="CW181" s="753"/>
      <c r="CX181" s="753"/>
      <c r="CY181" s="753"/>
      <c r="CZ181" s="753"/>
      <c r="DA181" s="753"/>
      <c r="DB181" s="753"/>
      <c r="DC181" s="753"/>
      <c r="DD181" s="753"/>
      <c r="DE181" s="753"/>
      <c r="DF181" s="753"/>
      <c r="DG181" s="753"/>
      <c r="DH181" s="753"/>
      <c r="DI181" s="753"/>
      <c r="DJ181" s="753"/>
      <c r="DK181" s="753"/>
      <c r="DL181" s="753"/>
      <c r="DM181" s="776"/>
    </row>
    <row r="182" spans="1:118" s="758" customFormat="1" ht="16.5">
      <c r="A182" s="794"/>
      <c r="B182" s="799"/>
      <c r="C182" s="795"/>
      <c r="D182" s="780"/>
      <c r="E182" s="773"/>
      <c r="F182" s="773"/>
      <c r="G182" s="780"/>
      <c r="H182" s="780"/>
      <c r="I182" s="764"/>
      <c r="J182" s="1063"/>
      <c r="K182" s="1063"/>
      <c r="L182" s="1063"/>
      <c r="M182" s="1127"/>
      <c r="N182" s="1039"/>
      <c r="O182" s="1039"/>
      <c r="P182" s="1130"/>
      <c r="Q182" s="1039"/>
      <c r="R182" s="1039"/>
      <c r="S182" s="1039"/>
      <c r="T182" s="1039"/>
      <c r="U182" s="1039"/>
      <c r="V182" s="1039"/>
      <c r="W182" s="1039"/>
      <c r="X182" s="1039"/>
      <c r="Y182" s="1039"/>
      <c r="Z182" s="1039"/>
      <c r="AI182" s="1034"/>
      <c r="AJ182" s="1034"/>
      <c r="AK182" s="1034"/>
      <c r="AL182" s="1034"/>
      <c r="AM182" s="1034"/>
      <c r="AN182" s="1034"/>
      <c r="AO182" s="1034"/>
      <c r="CN182" s="753"/>
      <c r="CO182" s="753"/>
      <c r="CP182" s="753"/>
      <c r="CQ182" s="753"/>
      <c r="CR182" s="753"/>
      <c r="CS182" s="753"/>
      <c r="CT182" s="753"/>
      <c r="CU182" s="753"/>
      <c r="CV182" s="753"/>
      <c r="CW182" s="753"/>
      <c r="CX182" s="753"/>
      <c r="CY182" s="753"/>
      <c r="CZ182" s="753"/>
      <c r="DA182" s="753"/>
      <c r="DB182" s="753"/>
      <c r="DC182" s="753"/>
      <c r="DD182" s="753"/>
      <c r="DE182" s="753"/>
      <c r="DF182" s="753"/>
      <c r="DG182" s="753"/>
      <c r="DH182" s="753"/>
      <c r="DI182" s="753"/>
      <c r="DJ182" s="753"/>
      <c r="DK182" s="753"/>
      <c r="DL182" s="753"/>
      <c r="DM182" s="776"/>
    </row>
    <row r="183" spans="1:118" s="758" customFormat="1">
      <c r="A183" s="798"/>
      <c r="B183" s="799"/>
      <c r="C183" s="780"/>
      <c r="D183" s="780"/>
      <c r="E183" s="780"/>
      <c r="F183" s="780"/>
      <c r="G183" s="780"/>
      <c r="H183" s="780"/>
      <c r="I183" s="788"/>
      <c r="J183" s="1063"/>
      <c r="K183" s="1063"/>
      <c r="L183" s="1063"/>
      <c r="M183" s="1081"/>
      <c r="N183" s="1137"/>
      <c r="O183" s="1130"/>
      <c r="P183" s="1130"/>
      <c r="Q183" s="1039"/>
      <c r="R183" s="1039"/>
      <c r="S183" s="1039"/>
      <c r="T183" s="1039"/>
      <c r="U183" s="1039"/>
      <c r="V183" s="1039"/>
      <c r="W183" s="1039"/>
      <c r="X183" s="1039"/>
      <c r="Y183" s="1039"/>
      <c r="Z183" s="1039"/>
      <c r="AI183" s="1034"/>
      <c r="AJ183" s="1034"/>
      <c r="AK183" s="1034"/>
      <c r="AL183" s="1034"/>
      <c r="AM183" s="1034"/>
      <c r="AN183" s="1034"/>
      <c r="AO183" s="1034"/>
      <c r="CN183" s="753"/>
      <c r="CO183" s="753"/>
      <c r="CP183" s="753"/>
      <c r="CQ183" s="753"/>
      <c r="CR183" s="753"/>
      <c r="CS183" s="753"/>
      <c r="CT183" s="753"/>
      <c r="CU183" s="753"/>
      <c r="CV183" s="753"/>
      <c r="CW183" s="753"/>
      <c r="CX183" s="753"/>
      <c r="CY183" s="753"/>
      <c r="CZ183" s="753"/>
      <c r="DA183" s="753"/>
      <c r="DB183" s="753"/>
      <c r="DC183" s="753"/>
      <c r="DD183" s="753"/>
      <c r="DE183" s="753"/>
      <c r="DF183" s="753"/>
      <c r="DG183" s="753"/>
      <c r="DH183" s="753"/>
      <c r="DI183" s="753"/>
      <c r="DJ183" s="753"/>
      <c r="DK183" s="753"/>
      <c r="DL183" s="753"/>
      <c r="DM183" s="776"/>
    </row>
    <row r="184" spans="1:118" s="758" customFormat="1">
      <c r="A184" s="798"/>
      <c r="B184" s="799"/>
      <c r="C184" s="780"/>
      <c r="D184" s="780"/>
      <c r="E184" s="780"/>
      <c r="F184" s="780"/>
      <c r="G184" s="780"/>
      <c r="H184" s="780"/>
      <c r="I184" s="788"/>
      <c r="J184" s="1063"/>
      <c r="K184" s="1063"/>
      <c r="L184" s="1063"/>
      <c r="M184" s="1081"/>
      <c r="N184" s="1083"/>
      <c r="O184" s="1130"/>
      <c r="P184" s="1130"/>
      <c r="Q184" s="1039"/>
      <c r="R184" s="1039"/>
      <c r="S184" s="1039"/>
      <c r="T184" s="1039"/>
      <c r="U184" s="1039"/>
      <c r="V184" s="1039"/>
      <c r="W184" s="1039"/>
      <c r="X184" s="1039"/>
      <c r="Y184" s="1039"/>
      <c r="Z184" s="1039"/>
      <c r="AI184" s="1034"/>
      <c r="AJ184" s="1034"/>
      <c r="AK184" s="1034"/>
      <c r="AL184" s="1034"/>
      <c r="AM184" s="1034"/>
      <c r="AN184" s="1034"/>
      <c r="AO184" s="1034"/>
      <c r="CN184" s="753"/>
      <c r="CO184" s="753"/>
      <c r="CP184" s="753"/>
      <c r="CQ184" s="753"/>
      <c r="CR184" s="753"/>
      <c r="CS184" s="753"/>
      <c r="CT184" s="753"/>
      <c r="CU184" s="753"/>
      <c r="CV184" s="753"/>
      <c r="CW184" s="753"/>
      <c r="CX184" s="753"/>
      <c r="CY184" s="753"/>
      <c r="CZ184" s="753"/>
      <c r="DA184" s="753"/>
      <c r="DB184" s="753"/>
      <c r="DC184" s="753"/>
      <c r="DD184" s="753"/>
      <c r="DE184" s="753"/>
      <c r="DF184" s="753"/>
      <c r="DG184" s="753"/>
      <c r="DH184" s="753"/>
      <c r="DI184" s="753"/>
      <c r="DJ184" s="753"/>
      <c r="DK184" s="753"/>
      <c r="DL184" s="753"/>
      <c r="DM184" s="776"/>
    </row>
    <row r="185" spans="1:118" s="758" customFormat="1" ht="15.75">
      <c r="A185" s="794"/>
      <c r="B185" s="800"/>
      <c r="C185" s="780"/>
      <c r="D185" s="780"/>
      <c r="E185" s="780"/>
      <c r="F185" s="780"/>
      <c r="G185" s="780"/>
      <c r="H185" s="797"/>
      <c r="I185" s="787"/>
      <c r="J185" s="1063"/>
      <c r="K185" s="1063"/>
      <c r="L185" s="1063"/>
      <c r="M185" s="1081"/>
      <c r="N185" s="1083"/>
      <c r="O185" s="1130"/>
      <c r="P185" s="1130"/>
      <c r="Q185" s="1039"/>
      <c r="R185" s="1039"/>
      <c r="S185" s="1039"/>
      <c r="T185" s="1039"/>
      <c r="U185" s="1039"/>
      <c r="V185" s="1039"/>
      <c r="W185" s="1039"/>
      <c r="X185" s="1039"/>
      <c r="Y185" s="1039"/>
      <c r="Z185" s="1039"/>
      <c r="AI185" s="1034"/>
      <c r="AJ185" s="1034"/>
      <c r="AK185" s="1034"/>
      <c r="AL185" s="1034"/>
      <c r="AM185" s="1034"/>
      <c r="AN185" s="1034"/>
      <c r="AO185" s="1034"/>
      <c r="CN185" s="753"/>
      <c r="CO185" s="753"/>
      <c r="CP185" s="753"/>
      <c r="CQ185" s="753"/>
      <c r="CR185" s="753"/>
      <c r="CS185" s="753"/>
      <c r="CT185" s="753"/>
      <c r="CU185" s="753"/>
      <c r="CV185" s="753"/>
      <c r="CW185" s="753"/>
      <c r="CX185" s="753"/>
      <c r="CY185" s="753"/>
      <c r="CZ185" s="753"/>
      <c r="DA185" s="753"/>
      <c r="DB185" s="753"/>
      <c r="DC185" s="753"/>
      <c r="DD185" s="753"/>
      <c r="DE185" s="753"/>
      <c r="DF185" s="753"/>
      <c r="DG185" s="753"/>
      <c r="DH185" s="753"/>
      <c r="DI185" s="753"/>
      <c r="DJ185" s="753"/>
      <c r="DK185" s="753"/>
      <c r="DL185" s="753"/>
      <c r="DM185" s="776"/>
    </row>
    <row r="186" spans="1:118" s="758" customFormat="1" ht="15.75">
      <c r="A186" s="794"/>
      <c r="B186" s="800"/>
      <c r="C186" s="780"/>
      <c r="D186" s="780"/>
      <c r="E186" s="780"/>
      <c r="F186" s="780"/>
      <c r="G186" s="780"/>
      <c r="H186" s="797"/>
      <c r="I186" s="787"/>
      <c r="J186" s="1063"/>
      <c r="K186" s="1063"/>
      <c r="L186" s="1063"/>
      <c r="M186" s="1063"/>
      <c r="N186" s="1039"/>
      <c r="O186" s="1039"/>
      <c r="P186" s="1130"/>
      <c r="Q186" s="1039"/>
      <c r="R186" s="1039"/>
      <c r="S186" s="1039"/>
      <c r="T186" s="1039"/>
      <c r="U186" s="1039"/>
      <c r="V186" s="1039"/>
      <c r="W186" s="1039"/>
      <c r="X186" s="1039"/>
      <c r="Y186" s="1039"/>
      <c r="Z186" s="1039"/>
      <c r="AI186" s="1034"/>
      <c r="AJ186" s="1034"/>
      <c r="AK186" s="1034"/>
      <c r="AL186" s="1034"/>
      <c r="AM186" s="1034"/>
      <c r="AN186" s="1034"/>
      <c r="AO186" s="1034"/>
      <c r="CN186" s="753"/>
      <c r="CO186" s="753"/>
      <c r="CP186" s="753"/>
      <c r="CQ186" s="753"/>
      <c r="CR186" s="753"/>
      <c r="CS186" s="753"/>
      <c r="CT186" s="753"/>
      <c r="CU186" s="753"/>
      <c r="CV186" s="753"/>
      <c r="CW186" s="753"/>
      <c r="CX186" s="753"/>
      <c r="CY186" s="753"/>
      <c r="CZ186" s="753"/>
      <c r="DA186" s="753"/>
      <c r="DB186" s="753"/>
      <c r="DC186" s="753"/>
      <c r="DD186" s="753"/>
      <c r="DE186" s="753"/>
      <c r="DF186" s="753"/>
      <c r="DG186" s="753"/>
      <c r="DH186" s="753"/>
      <c r="DI186" s="753"/>
      <c r="DJ186" s="753"/>
      <c r="DK186" s="753"/>
      <c r="DL186" s="753"/>
      <c r="DM186" s="776"/>
    </row>
    <row r="187" spans="1:118" s="758" customFormat="1">
      <c r="A187" s="780"/>
      <c r="B187" s="800"/>
      <c r="C187" s="773"/>
      <c r="D187" s="805"/>
      <c r="E187" s="780"/>
      <c r="F187" s="780"/>
      <c r="G187" s="780"/>
      <c r="H187" s="780"/>
      <c r="I187" s="815"/>
      <c r="J187" s="1063"/>
      <c r="K187" s="1063"/>
      <c r="L187" s="1063"/>
      <c r="M187" s="1149"/>
      <c r="N187" s="1083"/>
      <c r="O187" s="1130"/>
      <c r="P187" s="1130"/>
      <c r="Q187" s="1039"/>
      <c r="R187" s="1039"/>
      <c r="S187" s="1039"/>
      <c r="T187" s="1039"/>
      <c r="U187" s="1039"/>
      <c r="V187" s="1039"/>
      <c r="W187" s="1039"/>
      <c r="X187" s="1039"/>
      <c r="Y187" s="1039"/>
      <c r="Z187" s="1039"/>
      <c r="AI187" s="1034"/>
      <c r="AJ187" s="1034"/>
      <c r="AK187" s="1034"/>
      <c r="AL187" s="1034"/>
      <c r="AM187" s="1034"/>
      <c r="AN187" s="1034"/>
      <c r="AO187" s="1034"/>
      <c r="CN187" s="753"/>
      <c r="CO187" s="753"/>
      <c r="CP187" s="753"/>
      <c r="CQ187" s="753"/>
      <c r="CR187" s="753"/>
      <c r="CS187" s="753"/>
      <c r="CT187" s="753"/>
      <c r="CU187" s="753"/>
      <c r="CV187" s="753"/>
      <c r="CW187" s="753"/>
      <c r="CX187" s="753"/>
      <c r="CY187" s="753"/>
      <c r="CZ187" s="753"/>
      <c r="DA187" s="753"/>
      <c r="DB187" s="753"/>
      <c r="DC187" s="753"/>
      <c r="DD187" s="753"/>
      <c r="DE187" s="753"/>
      <c r="DF187" s="753"/>
      <c r="DG187" s="753"/>
      <c r="DH187" s="753"/>
      <c r="DI187" s="753"/>
      <c r="DJ187" s="753"/>
      <c r="DK187" s="753"/>
      <c r="DL187" s="753"/>
      <c r="DM187" s="776"/>
    </row>
    <row r="188" spans="1:118" s="758" customFormat="1">
      <c r="A188" s="780"/>
      <c r="B188" s="774"/>
      <c r="C188" s="804"/>
      <c r="D188" s="804"/>
      <c r="E188" s="780"/>
      <c r="F188" s="780"/>
      <c r="G188" s="780"/>
      <c r="H188" s="780"/>
      <c r="I188" s="815"/>
      <c r="J188" s="1063"/>
      <c r="K188" s="1063"/>
      <c r="L188" s="1063"/>
      <c r="M188" s="1081"/>
      <c r="N188" s="1137"/>
      <c r="O188" s="1130"/>
      <c r="P188" s="1130"/>
      <c r="Q188" s="1039"/>
      <c r="R188" s="1039"/>
      <c r="S188" s="1039"/>
      <c r="T188" s="1039"/>
      <c r="U188" s="1039"/>
      <c r="V188" s="1039"/>
      <c r="W188" s="1039"/>
      <c r="X188" s="1039"/>
      <c r="Y188" s="1039"/>
      <c r="Z188" s="1039"/>
      <c r="AI188" s="1034"/>
      <c r="AJ188" s="1034"/>
      <c r="AK188" s="1034"/>
      <c r="AL188" s="1034"/>
      <c r="AM188" s="1034"/>
      <c r="AN188" s="1034"/>
      <c r="AO188" s="1034"/>
      <c r="CN188" s="753"/>
      <c r="CO188" s="753"/>
      <c r="CP188" s="753"/>
      <c r="CQ188" s="753"/>
      <c r="CR188" s="753"/>
      <c r="CS188" s="753"/>
      <c r="CT188" s="753"/>
      <c r="CU188" s="753"/>
      <c r="CV188" s="753"/>
      <c r="CW188" s="753"/>
      <c r="CX188" s="753"/>
      <c r="CY188" s="753"/>
      <c r="CZ188" s="753"/>
      <c r="DA188" s="753"/>
      <c r="DB188" s="753"/>
      <c r="DC188" s="753"/>
      <c r="DD188" s="753"/>
      <c r="DE188" s="753"/>
      <c r="DF188" s="753"/>
      <c r="DG188" s="753"/>
      <c r="DH188" s="753"/>
      <c r="DI188" s="753"/>
      <c r="DJ188" s="753"/>
      <c r="DK188" s="753"/>
      <c r="DL188" s="753"/>
      <c r="DM188" s="776"/>
    </row>
    <row r="189" spans="1:118" s="758" customFormat="1">
      <c r="A189" s="806"/>
      <c r="B189" s="780"/>
      <c r="C189" s="780"/>
      <c r="D189" s="780"/>
      <c r="E189" s="780"/>
      <c r="F189" s="780"/>
      <c r="G189" s="780"/>
      <c r="H189" s="780"/>
      <c r="I189" s="788"/>
      <c r="J189" s="1063"/>
      <c r="K189" s="1063"/>
      <c r="L189" s="1063"/>
      <c r="M189" s="1081"/>
      <c r="N189" s="1083"/>
      <c r="O189" s="1130"/>
      <c r="P189" s="1039"/>
      <c r="Q189" s="1039"/>
      <c r="R189" s="1039"/>
      <c r="S189" s="1039"/>
      <c r="T189" s="1039"/>
      <c r="U189" s="1039"/>
      <c r="V189" s="1039"/>
      <c r="W189" s="1039"/>
      <c r="X189" s="1039"/>
      <c r="Y189" s="1039"/>
      <c r="Z189" s="1039"/>
      <c r="AI189" s="1034"/>
      <c r="AJ189" s="1034"/>
      <c r="AK189" s="1034"/>
      <c r="AL189" s="1034"/>
      <c r="AM189" s="1034"/>
      <c r="AN189" s="1034"/>
      <c r="AO189" s="1034"/>
      <c r="CN189" s="753"/>
      <c r="CO189" s="753"/>
      <c r="CP189" s="753"/>
      <c r="CQ189" s="753"/>
      <c r="CR189" s="753"/>
      <c r="CS189" s="753"/>
      <c r="CT189" s="753"/>
      <c r="CU189" s="753"/>
      <c r="CV189" s="753"/>
      <c r="CW189" s="753"/>
      <c r="CX189" s="753"/>
      <c r="CY189" s="753"/>
      <c r="CZ189" s="753"/>
      <c r="DA189" s="753"/>
      <c r="DB189" s="753"/>
      <c r="DC189" s="753"/>
      <c r="DD189" s="753"/>
      <c r="DE189" s="753"/>
      <c r="DF189" s="753"/>
      <c r="DG189" s="753"/>
      <c r="DH189" s="753"/>
      <c r="DI189" s="753"/>
      <c r="DJ189" s="753"/>
      <c r="DK189" s="753"/>
      <c r="DL189" s="753"/>
      <c r="DM189" s="776"/>
      <c r="DN189" s="779"/>
    </row>
    <row r="190" spans="1:118" s="758" customFormat="1" ht="15.75">
      <c r="A190" s="794"/>
      <c r="B190" s="800"/>
      <c r="C190" s="780"/>
      <c r="D190" s="780"/>
      <c r="E190" s="780"/>
      <c r="F190" s="780"/>
      <c r="G190" s="780"/>
      <c r="H190" s="797"/>
      <c r="I190" s="787"/>
      <c r="J190" s="1063"/>
      <c r="K190" s="1063"/>
      <c r="L190" s="1063"/>
      <c r="M190" s="1081"/>
      <c r="N190" s="1151"/>
      <c r="O190" s="1130"/>
      <c r="P190" s="1130"/>
      <c r="Q190" s="1039"/>
      <c r="R190" s="1039"/>
      <c r="S190" s="1039"/>
      <c r="T190" s="1039"/>
      <c r="U190" s="1039"/>
      <c r="V190" s="1039"/>
      <c r="W190" s="1039"/>
      <c r="X190" s="1039"/>
      <c r="Y190" s="1039"/>
      <c r="Z190" s="1039"/>
      <c r="AI190" s="1034"/>
      <c r="AJ190" s="1034"/>
      <c r="AK190" s="1034"/>
      <c r="AL190" s="1034"/>
      <c r="AM190" s="1034"/>
      <c r="AN190" s="1034"/>
      <c r="AO190" s="1034"/>
      <c r="CN190" s="753"/>
      <c r="CO190" s="753"/>
      <c r="CP190" s="753"/>
      <c r="CQ190" s="753"/>
      <c r="CR190" s="753"/>
      <c r="CS190" s="753"/>
      <c r="CT190" s="753"/>
      <c r="CU190" s="753"/>
      <c r="CV190" s="753"/>
      <c r="CW190" s="753"/>
      <c r="CX190" s="753"/>
      <c r="CY190" s="753"/>
      <c r="CZ190" s="753"/>
      <c r="DA190" s="753"/>
      <c r="DB190" s="753"/>
      <c r="DC190" s="753"/>
      <c r="DD190" s="753"/>
      <c r="DE190" s="753"/>
      <c r="DF190" s="753"/>
      <c r="DG190" s="753"/>
      <c r="DH190" s="753"/>
      <c r="DI190" s="753"/>
      <c r="DJ190" s="753"/>
      <c r="DK190" s="753"/>
      <c r="DL190" s="753"/>
      <c r="DM190" s="776"/>
      <c r="DN190" s="781"/>
    </row>
    <row r="191" spans="1:118" s="758" customFormat="1" ht="15.75">
      <c r="A191" s="794"/>
      <c r="B191" s="800"/>
      <c r="C191" s="780"/>
      <c r="D191" s="780"/>
      <c r="E191" s="780"/>
      <c r="F191" s="780"/>
      <c r="G191" s="773"/>
      <c r="H191" s="797"/>
      <c r="I191" s="787"/>
      <c r="J191" s="1063"/>
      <c r="K191" s="1063"/>
      <c r="L191" s="1063"/>
      <c r="M191" s="1081"/>
      <c r="N191" s="1083"/>
      <c r="O191" s="1130"/>
      <c r="P191" s="1039"/>
      <c r="Q191" s="1039"/>
      <c r="R191" s="1039"/>
      <c r="S191" s="1039"/>
      <c r="T191" s="1039"/>
      <c r="U191" s="1039"/>
      <c r="V191" s="1039"/>
      <c r="W191" s="1039"/>
      <c r="X191" s="1039"/>
      <c r="Y191" s="1039"/>
      <c r="Z191" s="1039"/>
      <c r="AI191" s="1034"/>
      <c r="AJ191" s="1034"/>
      <c r="AK191" s="1034"/>
      <c r="AL191" s="1034"/>
      <c r="AM191" s="1034"/>
      <c r="AN191" s="1034"/>
      <c r="AO191" s="1034"/>
      <c r="CN191" s="753"/>
      <c r="CO191" s="753"/>
      <c r="CP191" s="753"/>
      <c r="CQ191" s="753"/>
      <c r="CR191" s="753"/>
      <c r="CS191" s="753"/>
      <c r="CT191" s="753"/>
      <c r="CU191" s="753"/>
      <c r="CV191" s="753"/>
      <c r="CW191" s="753"/>
      <c r="CX191" s="753"/>
      <c r="CY191" s="753"/>
      <c r="CZ191" s="753"/>
      <c r="DA191" s="753"/>
      <c r="DB191" s="753"/>
      <c r="DC191" s="753"/>
      <c r="DD191" s="753"/>
      <c r="DE191" s="753"/>
      <c r="DF191" s="753"/>
      <c r="DG191" s="753"/>
      <c r="DH191" s="753"/>
      <c r="DI191" s="753"/>
      <c r="DJ191" s="753"/>
      <c r="DK191" s="753"/>
      <c r="DL191" s="753"/>
      <c r="DM191" s="776"/>
      <c r="DN191" s="779"/>
    </row>
    <row r="192" spans="1:118" s="758" customFormat="1">
      <c r="A192" s="780"/>
      <c r="B192" s="774"/>
      <c r="C192" s="804"/>
      <c r="D192" s="804"/>
      <c r="E192" s="773"/>
      <c r="F192" s="780"/>
      <c r="G192" s="780"/>
      <c r="H192" s="798"/>
      <c r="I192" s="816"/>
      <c r="J192" s="1063"/>
      <c r="K192" s="1063"/>
      <c r="L192" s="1063"/>
      <c r="M192" s="1081"/>
      <c r="N192" s="1083"/>
      <c r="O192" s="1130"/>
      <c r="P192" s="1130"/>
      <c r="Q192" s="1039"/>
      <c r="R192" s="1039"/>
      <c r="S192" s="1039"/>
      <c r="T192" s="1039"/>
      <c r="U192" s="1039"/>
      <c r="V192" s="1039"/>
      <c r="W192" s="1039"/>
      <c r="X192" s="1039"/>
      <c r="Y192" s="1039"/>
      <c r="Z192" s="1039"/>
      <c r="AI192" s="1034"/>
      <c r="AJ192" s="1034"/>
      <c r="AK192" s="1034"/>
      <c r="AL192" s="1034"/>
      <c r="AM192" s="1034"/>
      <c r="AN192" s="1034"/>
      <c r="AO192" s="1034"/>
      <c r="CN192" s="753"/>
      <c r="CO192" s="753"/>
      <c r="CP192" s="753"/>
      <c r="CQ192" s="753"/>
      <c r="CR192" s="753"/>
      <c r="CS192" s="753"/>
      <c r="CT192" s="753"/>
      <c r="CU192" s="753"/>
      <c r="CV192" s="753"/>
      <c r="CW192" s="753"/>
      <c r="CX192" s="753"/>
      <c r="CY192" s="753"/>
      <c r="CZ192" s="753"/>
      <c r="DA192" s="753"/>
      <c r="DB192" s="753"/>
      <c r="DC192" s="753"/>
      <c r="DD192" s="753"/>
      <c r="DE192" s="753"/>
      <c r="DF192" s="753"/>
      <c r="DG192" s="753"/>
      <c r="DH192" s="753"/>
      <c r="DI192" s="753"/>
      <c r="DJ192" s="753"/>
      <c r="DK192" s="753"/>
      <c r="DL192" s="753"/>
      <c r="DM192" s="776"/>
    </row>
    <row r="193" spans="1:117" s="758" customFormat="1">
      <c r="A193" s="780"/>
      <c r="B193" s="780"/>
      <c r="C193" s="780"/>
      <c r="D193" s="780"/>
      <c r="E193" s="780"/>
      <c r="F193" s="780"/>
      <c r="G193" s="780"/>
      <c r="H193" s="780"/>
      <c r="I193" s="780"/>
      <c r="J193" s="1063"/>
      <c r="K193" s="1063"/>
      <c r="L193" s="1063"/>
      <c r="M193" s="1063"/>
      <c r="N193" s="1039"/>
      <c r="O193" s="1039"/>
      <c r="P193" s="1130"/>
      <c r="Q193" s="1039"/>
      <c r="R193" s="1039"/>
      <c r="S193" s="1039"/>
      <c r="T193" s="1039"/>
      <c r="U193" s="1039"/>
      <c r="V193" s="1039"/>
      <c r="W193" s="1039"/>
      <c r="X193" s="1039"/>
      <c r="Y193" s="1039"/>
      <c r="Z193" s="1039"/>
      <c r="AI193" s="1034"/>
      <c r="AJ193" s="1034"/>
      <c r="AK193" s="1034"/>
      <c r="AL193" s="1034"/>
      <c r="AM193" s="1034"/>
      <c r="AN193" s="1034"/>
      <c r="AO193" s="1034"/>
      <c r="CN193" s="753"/>
      <c r="CO193" s="753"/>
      <c r="CP193" s="753"/>
      <c r="CQ193" s="753"/>
      <c r="CR193" s="753"/>
      <c r="CS193" s="753"/>
      <c r="CT193" s="753"/>
      <c r="CU193" s="753"/>
      <c r="CV193" s="753"/>
      <c r="CW193" s="753"/>
      <c r="CX193" s="753"/>
      <c r="CY193" s="753"/>
      <c r="CZ193" s="753"/>
      <c r="DA193" s="753"/>
      <c r="DB193" s="753"/>
      <c r="DC193" s="753"/>
      <c r="DD193" s="753"/>
      <c r="DE193" s="753"/>
      <c r="DF193" s="753"/>
      <c r="DG193" s="753"/>
      <c r="DH193" s="753"/>
      <c r="DI193" s="753"/>
      <c r="DJ193" s="753"/>
      <c r="DK193" s="753"/>
      <c r="DL193" s="753"/>
      <c r="DM193" s="776"/>
    </row>
    <row r="194" spans="1:117" s="758" customFormat="1">
      <c r="A194" s="796"/>
      <c r="B194" s="800"/>
      <c r="C194" s="804"/>
      <c r="D194" s="804"/>
      <c r="E194" s="773"/>
      <c r="F194" s="773"/>
      <c r="G194" s="780"/>
      <c r="H194" s="801"/>
      <c r="I194" s="764"/>
      <c r="J194" s="1063"/>
      <c r="K194" s="1063"/>
      <c r="L194" s="1063"/>
      <c r="M194" s="1081"/>
      <c r="N194" s="1083"/>
      <c r="O194" s="1130"/>
      <c r="P194" s="1130"/>
      <c r="Q194" s="1039"/>
      <c r="R194" s="1039"/>
      <c r="S194" s="1039"/>
      <c r="T194" s="1039"/>
      <c r="U194" s="1039"/>
      <c r="V194" s="1039"/>
      <c r="W194" s="1039"/>
      <c r="X194" s="1039"/>
      <c r="Y194" s="1039"/>
      <c r="Z194" s="1039"/>
      <c r="AI194" s="1034"/>
      <c r="AJ194" s="1034"/>
      <c r="AK194" s="1034"/>
      <c r="AL194" s="1034"/>
      <c r="AM194" s="1034"/>
      <c r="AN194" s="1034"/>
      <c r="AO194" s="1034"/>
      <c r="CN194" s="753"/>
      <c r="CO194" s="753"/>
      <c r="CP194" s="753"/>
      <c r="CQ194" s="753"/>
      <c r="CR194" s="753"/>
      <c r="CS194" s="753"/>
      <c r="CT194" s="753"/>
      <c r="CU194" s="753"/>
      <c r="CV194" s="753"/>
      <c r="CW194" s="753"/>
      <c r="CX194" s="753"/>
      <c r="CY194" s="753"/>
      <c r="CZ194" s="753"/>
      <c r="DA194" s="753"/>
      <c r="DB194" s="753"/>
      <c r="DC194" s="753"/>
      <c r="DD194" s="753"/>
      <c r="DE194" s="753"/>
      <c r="DF194" s="753"/>
      <c r="DG194" s="753"/>
      <c r="DH194" s="753"/>
      <c r="DI194" s="753"/>
      <c r="DJ194" s="753"/>
      <c r="DK194" s="753"/>
      <c r="DL194" s="753"/>
      <c r="DM194" s="776"/>
    </row>
    <row r="195" spans="1:117" s="758" customFormat="1">
      <c r="A195" s="798"/>
      <c r="B195" s="800"/>
      <c r="C195" s="809"/>
      <c r="D195" s="804"/>
      <c r="E195" s="780"/>
      <c r="F195" s="780"/>
      <c r="G195" s="780"/>
      <c r="H195" s="780"/>
      <c r="I195" s="788"/>
      <c r="J195" s="1063"/>
      <c r="K195" s="1063"/>
      <c r="L195" s="1063"/>
      <c r="M195" s="1081"/>
      <c r="N195" s="1137"/>
      <c r="O195" s="1130"/>
      <c r="P195" s="1130"/>
      <c r="Q195" s="1039"/>
      <c r="R195" s="1039"/>
      <c r="S195" s="1039"/>
      <c r="T195" s="1039"/>
      <c r="U195" s="1039"/>
      <c r="V195" s="1039"/>
      <c r="W195" s="1039"/>
      <c r="X195" s="1039"/>
      <c r="Y195" s="1039"/>
      <c r="Z195" s="1039"/>
      <c r="AI195" s="1034"/>
      <c r="AJ195" s="1034"/>
      <c r="AK195" s="1034"/>
      <c r="AL195" s="1034"/>
      <c r="AM195" s="1034"/>
      <c r="AN195" s="1034"/>
      <c r="AO195" s="1034"/>
      <c r="CN195" s="753"/>
      <c r="CO195" s="753"/>
      <c r="CP195" s="753"/>
      <c r="CQ195" s="753"/>
      <c r="CR195" s="753"/>
      <c r="CS195" s="753"/>
      <c r="CT195" s="753"/>
      <c r="CU195" s="753"/>
      <c r="CV195" s="753"/>
      <c r="CW195" s="753"/>
      <c r="CX195" s="753"/>
      <c r="CY195" s="753"/>
      <c r="CZ195" s="753"/>
      <c r="DA195" s="753"/>
      <c r="DB195" s="753"/>
      <c r="DC195" s="753"/>
      <c r="DD195" s="753"/>
      <c r="DE195" s="753"/>
      <c r="DF195" s="753"/>
      <c r="DG195" s="753"/>
      <c r="DH195" s="753"/>
      <c r="DI195" s="753"/>
      <c r="DJ195" s="753"/>
      <c r="DK195" s="753"/>
      <c r="DL195" s="753"/>
      <c r="DM195" s="776"/>
    </row>
    <row r="196" spans="1:117" s="758" customFormat="1">
      <c r="A196" s="798"/>
      <c r="B196" s="800"/>
      <c r="C196" s="804"/>
      <c r="D196" s="804"/>
      <c r="E196" s="773"/>
      <c r="F196" s="773"/>
      <c r="G196" s="773"/>
      <c r="H196" s="773"/>
      <c r="I196" s="764"/>
      <c r="J196" s="1063"/>
      <c r="K196" s="1063"/>
      <c r="L196" s="1063"/>
      <c r="M196" s="782"/>
      <c r="N196" s="1137"/>
      <c r="O196" s="1130"/>
      <c r="P196" s="783"/>
      <c r="Q196" s="1039"/>
      <c r="R196" s="1039"/>
      <c r="S196" s="1039"/>
      <c r="T196" s="1039"/>
      <c r="U196" s="1039"/>
      <c r="V196" s="1039"/>
      <c r="W196" s="1039"/>
      <c r="X196" s="1039"/>
      <c r="Y196" s="1039"/>
      <c r="Z196" s="1039"/>
      <c r="AI196" s="1034"/>
      <c r="AJ196" s="1034"/>
      <c r="AK196" s="1034"/>
      <c r="AL196" s="1034"/>
      <c r="AM196" s="1034"/>
      <c r="AN196" s="1034"/>
      <c r="AO196" s="1034"/>
      <c r="CN196" s="753"/>
      <c r="CO196" s="753"/>
      <c r="CP196" s="753"/>
      <c r="CQ196" s="753"/>
      <c r="CR196" s="753"/>
      <c r="CS196" s="753"/>
      <c r="CT196" s="753"/>
      <c r="CU196" s="753"/>
      <c r="CV196" s="753"/>
      <c r="CW196" s="753"/>
      <c r="CX196" s="753"/>
      <c r="CY196" s="753"/>
      <c r="CZ196" s="753"/>
      <c r="DA196" s="753"/>
      <c r="DB196" s="753"/>
      <c r="DC196" s="753"/>
      <c r="DD196" s="753"/>
      <c r="DE196" s="753"/>
      <c r="DF196" s="753"/>
      <c r="DG196" s="753"/>
      <c r="DH196" s="753"/>
      <c r="DI196" s="753"/>
      <c r="DJ196" s="753"/>
      <c r="DK196" s="753"/>
      <c r="DL196" s="753"/>
      <c r="DM196" s="776"/>
    </row>
    <row r="197" spans="1:117" s="758" customFormat="1">
      <c r="A197" s="798"/>
      <c r="B197" s="800"/>
      <c r="C197" s="804"/>
      <c r="D197" s="804"/>
      <c r="E197" s="780"/>
      <c r="F197" s="780"/>
      <c r="G197" s="780"/>
      <c r="H197" s="801"/>
      <c r="I197" s="764"/>
      <c r="J197" s="1063"/>
      <c r="K197" s="1063"/>
      <c r="L197" s="1063"/>
      <c r="M197" s="782"/>
      <c r="N197" s="1137"/>
      <c r="O197" s="1130"/>
      <c r="P197" s="783"/>
      <c r="Q197" s="1039"/>
      <c r="R197" s="1039"/>
      <c r="S197" s="1039"/>
      <c r="T197" s="1039"/>
      <c r="U197" s="1039"/>
      <c r="V197" s="1039"/>
      <c r="W197" s="1039"/>
      <c r="X197" s="1039"/>
      <c r="Y197" s="1039"/>
      <c r="Z197" s="1039"/>
      <c r="AI197" s="1034"/>
      <c r="AJ197" s="1034"/>
      <c r="AK197" s="1034"/>
      <c r="AL197" s="1034"/>
      <c r="AM197" s="1034"/>
      <c r="AN197" s="1034"/>
      <c r="AO197" s="1034"/>
      <c r="CN197" s="753"/>
      <c r="CO197" s="753"/>
      <c r="CP197" s="753"/>
      <c r="CQ197" s="753"/>
      <c r="CR197" s="753"/>
      <c r="CS197" s="753"/>
      <c r="CT197" s="753"/>
      <c r="CU197" s="753"/>
      <c r="CV197" s="753"/>
      <c r="CW197" s="753"/>
      <c r="CX197" s="753"/>
      <c r="CY197" s="753"/>
      <c r="CZ197" s="753"/>
      <c r="DA197" s="753"/>
      <c r="DB197" s="753"/>
      <c r="DC197" s="753"/>
      <c r="DD197" s="753"/>
      <c r="DE197" s="753"/>
      <c r="DF197" s="753"/>
      <c r="DG197" s="753"/>
      <c r="DH197" s="753"/>
      <c r="DI197" s="753"/>
      <c r="DJ197" s="753"/>
      <c r="DK197" s="753"/>
      <c r="DL197" s="753"/>
      <c r="DM197" s="776"/>
    </row>
    <row r="198" spans="1:117" s="758" customFormat="1">
      <c r="A198" s="798"/>
      <c r="B198" s="800"/>
      <c r="C198" s="804"/>
      <c r="D198" s="804"/>
      <c r="E198" s="773"/>
      <c r="F198" s="773"/>
      <c r="G198" s="773"/>
      <c r="H198" s="773"/>
      <c r="I198" s="764"/>
      <c r="J198" s="1063"/>
      <c r="K198" s="1063"/>
      <c r="L198" s="1063"/>
      <c r="M198" s="1063"/>
      <c r="N198" s="1039"/>
      <c r="O198" s="1039"/>
      <c r="P198" s="1130"/>
      <c r="Q198" s="1039"/>
      <c r="R198" s="1039"/>
      <c r="S198" s="1039"/>
      <c r="T198" s="1039"/>
      <c r="U198" s="1039"/>
      <c r="V198" s="1039"/>
      <c r="W198" s="1039"/>
      <c r="X198" s="1039"/>
      <c r="Y198" s="1039"/>
      <c r="Z198" s="1039"/>
      <c r="AI198" s="1034"/>
      <c r="AJ198" s="1034"/>
      <c r="AK198" s="1034"/>
      <c r="AL198" s="1034"/>
      <c r="AM198" s="1034"/>
      <c r="AN198" s="1034"/>
      <c r="AO198" s="1034"/>
      <c r="CN198" s="753"/>
      <c r="CO198" s="753"/>
      <c r="CP198" s="753"/>
      <c r="CQ198" s="753"/>
      <c r="CR198" s="753"/>
      <c r="CS198" s="753"/>
      <c r="CT198" s="753"/>
      <c r="CU198" s="753"/>
      <c r="CV198" s="753"/>
      <c r="CW198" s="753"/>
      <c r="CX198" s="753"/>
      <c r="CY198" s="753"/>
      <c r="CZ198" s="753"/>
      <c r="DA198" s="753"/>
      <c r="DB198" s="753"/>
      <c r="DC198" s="753"/>
      <c r="DD198" s="753"/>
      <c r="DE198" s="753"/>
      <c r="DF198" s="753"/>
      <c r="DG198" s="753"/>
      <c r="DH198" s="753"/>
      <c r="DI198" s="753"/>
      <c r="DJ198" s="753"/>
      <c r="DK198" s="753"/>
      <c r="DL198" s="753"/>
      <c r="DM198" s="776"/>
    </row>
    <row r="199" spans="1:117" s="758" customFormat="1">
      <c r="A199" s="798"/>
      <c r="B199" s="800"/>
      <c r="C199" s="804"/>
      <c r="D199" s="804"/>
      <c r="E199" s="773"/>
      <c r="F199" s="773"/>
      <c r="G199" s="773"/>
      <c r="H199" s="797"/>
      <c r="I199" s="787"/>
      <c r="J199" s="1063"/>
      <c r="K199" s="1063"/>
      <c r="L199" s="1063"/>
      <c r="M199" s="1081"/>
      <c r="N199" s="1137"/>
      <c r="O199" s="1130"/>
      <c r="P199" s="1130"/>
      <c r="Q199" s="1039"/>
      <c r="R199" s="1039"/>
      <c r="S199" s="1039"/>
      <c r="T199" s="1039"/>
      <c r="U199" s="1039"/>
      <c r="V199" s="1039"/>
      <c r="W199" s="1039"/>
      <c r="X199" s="1039"/>
      <c r="Y199" s="1039"/>
      <c r="Z199" s="1039"/>
      <c r="AI199" s="1034"/>
      <c r="AJ199" s="1034"/>
      <c r="AK199" s="1034"/>
      <c r="AL199" s="1034"/>
      <c r="AM199" s="1034"/>
      <c r="AN199" s="1034"/>
      <c r="AO199" s="1034"/>
      <c r="CN199" s="753"/>
      <c r="CO199" s="753"/>
      <c r="CP199" s="753"/>
      <c r="CQ199" s="753"/>
      <c r="CR199" s="753"/>
      <c r="CS199" s="753"/>
      <c r="CT199" s="753"/>
      <c r="CU199" s="753"/>
      <c r="CV199" s="753"/>
      <c r="CW199" s="753"/>
      <c r="CX199" s="753"/>
      <c r="CY199" s="753"/>
      <c r="CZ199" s="753"/>
      <c r="DA199" s="753"/>
      <c r="DB199" s="753"/>
      <c r="DC199" s="753"/>
      <c r="DD199" s="753"/>
      <c r="DE199" s="753"/>
      <c r="DF199" s="753"/>
      <c r="DG199" s="753"/>
      <c r="DH199" s="753"/>
      <c r="DI199" s="753"/>
      <c r="DJ199" s="753"/>
      <c r="DK199" s="753"/>
      <c r="DL199" s="753"/>
      <c r="DM199" s="776"/>
    </row>
    <row r="200" spans="1:117" s="758" customFormat="1">
      <c r="A200" s="784"/>
      <c r="B200" s="817"/>
      <c r="C200" s="773"/>
      <c r="D200" s="818"/>
      <c r="E200" s="780"/>
      <c r="F200" s="780"/>
      <c r="G200" s="780"/>
      <c r="H200" s="780"/>
      <c r="I200" s="780"/>
      <c r="J200" s="1063"/>
      <c r="K200" s="1063"/>
      <c r="L200" s="1063"/>
      <c r="M200" s="1081"/>
      <c r="N200" s="1083"/>
      <c r="O200" s="1130"/>
      <c r="P200" s="1130"/>
      <c r="Q200" s="1039"/>
      <c r="R200" s="1039"/>
      <c r="S200" s="1039"/>
      <c r="T200" s="1039"/>
      <c r="U200" s="1039"/>
      <c r="V200" s="1039"/>
      <c r="W200" s="1039"/>
      <c r="X200" s="1039"/>
      <c r="Y200" s="1039"/>
      <c r="Z200" s="1039"/>
      <c r="AI200" s="1034"/>
      <c r="AJ200" s="1034"/>
      <c r="AK200" s="1034"/>
      <c r="AL200" s="1034"/>
      <c r="AM200" s="1034"/>
      <c r="AN200" s="1034"/>
      <c r="AO200" s="1034"/>
      <c r="CN200" s="753"/>
      <c r="CO200" s="753"/>
      <c r="CP200" s="753"/>
      <c r="CQ200" s="753"/>
      <c r="CR200" s="753"/>
      <c r="CS200" s="753"/>
      <c r="CT200" s="753"/>
      <c r="CU200" s="753"/>
      <c r="CV200" s="753"/>
      <c r="CW200" s="753"/>
      <c r="CX200" s="753"/>
      <c r="CY200" s="753"/>
      <c r="CZ200" s="753"/>
      <c r="DA200" s="753"/>
      <c r="DB200" s="753"/>
      <c r="DC200" s="753"/>
      <c r="DD200" s="753"/>
      <c r="DE200" s="753"/>
      <c r="DF200" s="753"/>
      <c r="DG200" s="753"/>
      <c r="DH200" s="753"/>
      <c r="DI200" s="753"/>
      <c r="DJ200" s="753"/>
      <c r="DK200" s="753"/>
      <c r="DL200" s="753"/>
      <c r="DM200" s="776"/>
    </row>
    <row r="201" spans="1:117" s="758" customFormat="1">
      <c r="A201" s="784"/>
      <c r="B201" s="774"/>
      <c r="C201" s="804"/>
      <c r="D201" s="804"/>
      <c r="E201" s="770"/>
      <c r="F201" s="780"/>
      <c r="G201" s="780"/>
      <c r="H201" s="780"/>
      <c r="I201" s="773"/>
      <c r="J201" s="1063"/>
      <c r="K201" s="1063"/>
      <c r="L201" s="1063"/>
      <c r="M201" s="1081"/>
      <c r="N201" s="1083"/>
      <c r="O201" s="1130"/>
      <c r="P201" s="1130"/>
      <c r="Q201" s="1039"/>
      <c r="R201" s="1039"/>
      <c r="S201" s="1039"/>
      <c r="T201" s="1039"/>
      <c r="U201" s="1039"/>
      <c r="V201" s="1039"/>
      <c r="W201" s="1039"/>
      <c r="X201" s="1039"/>
      <c r="Y201" s="1039"/>
      <c r="Z201" s="1039"/>
      <c r="AI201" s="1034"/>
      <c r="AJ201" s="1034"/>
      <c r="AK201" s="1034"/>
      <c r="AL201" s="1034"/>
      <c r="AM201" s="1034"/>
      <c r="AN201" s="1034"/>
      <c r="AO201" s="1034"/>
      <c r="CN201" s="753"/>
      <c r="CO201" s="753"/>
      <c r="CP201" s="753"/>
      <c r="CQ201" s="753"/>
      <c r="CR201" s="753"/>
      <c r="CS201" s="753"/>
      <c r="CT201" s="753"/>
      <c r="CU201" s="753"/>
      <c r="CV201" s="753"/>
      <c r="CW201" s="753"/>
      <c r="CX201" s="753"/>
      <c r="CY201" s="753"/>
      <c r="CZ201" s="753"/>
      <c r="DA201" s="753"/>
      <c r="DB201" s="753"/>
      <c r="DC201" s="753"/>
      <c r="DD201" s="753"/>
      <c r="DE201" s="753"/>
      <c r="DF201" s="753"/>
      <c r="DG201" s="753"/>
      <c r="DH201" s="753"/>
      <c r="DI201" s="753"/>
      <c r="DJ201" s="753"/>
      <c r="DK201" s="753"/>
      <c r="DL201" s="753"/>
      <c r="DM201" s="776"/>
    </row>
    <row r="202" spans="1:117" s="758" customFormat="1">
      <c r="A202" s="784"/>
      <c r="B202" s="819"/>
      <c r="C202" s="804"/>
      <c r="D202" s="804"/>
      <c r="E202" s="770"/>
      <c r="F202" s="780"/>
      <c r="G202" s="780"/>
      <c r="H202" s="780"/>
      <c r="I202" s="773"/>
      <c r="J202" s="1063"/>
      <c r="K202" s="1063"/>
      <c r="L202" s="1063"/>
      <c r="M202" s="1063"/>
      <c r="N202" s="1039"/>
      <c r="O202" s="1039"/>
      <c r="P202" s="1130"/>
      <c r="Q202" s="1039"/>
      <c r="R202" s="1039"/>
      <c r="S202" s="1039"/>
      <c r="T202" s="1039"/>
      <c r="U202" s="1039"/>
      <c r="V202" s="1039"/>
      <c r="W202" s="1039"/>
      <c r="X202" s="1039"/>
      <c r="Y202" s="1039"/>
      <c r="Z202" s="1039"/>
      <c r="AI202" s="1034"/>
      <c r="AJ202" s="1034"/>
      <c r="AK202" s="1034"/>
      <c r="AL202" s="1034"/>
      <c r="AM202" s="1034"/>
      <c r="AN202" s="1034"/>
      <c r="AO202" s="1034"/>
      <c r="CN202" s="753"/>
      <c r="CO202" s="753"/>
      <c r="CP202" s="753"/>
      <c r="CQ202" s="753"/>
      <c r="CR202" s="753"/>
      <c r="CS202" s="753"/>
      <c r="CT202" s="753"/>
      <c r="CU202" s="753"/>
      <c r="CV202" s="753"/>
      <c r="CW202" s="753"/>
      <c r="CX202" s="753"/>
      <c r="CY202" s="753"/>
      <c r="CZ202" s="753"/>
      <c r="DA202" s="753"/>
      <c r="DB202" s="753"/>
      <c r="DC202" s="753"/>
      <c r="DD202" s="753"/>
      <c r="DE202" s="753"/>
      <c r="DF202" s="753"/>
      <c r="DG202" s="753"/>
      <c r="DH202" s="753"/>
      <c r="DI202" s="753"/>
      <c r="DJ202" s="753"/>
      <c r="DK202" s="753"/>
      <c r="DL202" s="753"/>
      <c r="DM202" s="776"/>
    </row>
    <row r="203" spans="1:117" s="758" customFormat="1">
      <c r="A203" s="806"/>
      <c r="B203" s="800"/>
      <c r="C203" s="804"/>
      <c r="D203" s="805"/>
      <c r="E203" s="802"/>
      <c r="F203" s="780"/>
      <c r="G203" s="780"/>
      <c r="H203" s="780"/>
      <c r="I203" s="780"/>
      <c r="J203" s="1063"/>
      <c r="K203" s="1063"/>
      <c r="L203" s="1063"/>
      <c r="M203" s="1081"/>
      <c r="N203" s="1137"/>
      <c r="O203" s="1130"/>
      <c r="P203" s="1130"/>
      <c r="Q203" s="1039"/>
      <c r="R203" s="1039"/>
      <c r="S203" s="1039"/>
      <c r="T203" s="1039"/>
      <c r="U203" s="1039"/>
      <c r="V203" s="1039"/>
      <c r="W203" s="1039"/>
      <c r="X203" s="1039"/>
      <c r="Y203" s="1039"/>
      <c r="Z203" s="1039"/>
      <c r="AI203" s="1034"/>
      <c r="AJ203" s="1034"/>
      <c r="AK203" s="1034"/>
      <c r="AL203" s="1034"/>
      <c r="AM203" s="1034"/>
      <c r="AN203" s="1034"/>
      <c r="AO203" s="1034"/>
      <c r="CN203" s="753"/>
      <c r="CO203" s="753"/>
      <c r="CP203" s="753"/>
      <c r="CQ203" s="753"/>
      <c r="CR203" s="753"/>
      <c r="CS203" s="753"/>
      <c r="CT203" s="753"/>
      <c r="CU203" s="753"/>
      <c r="CV203" s="753"/>
      <c r="CW203" s="753"/>
      <c r="CX203" s="753"/>
      <c r="CY203" s="753"/>
      <c r="CZ203" s="753"/>
      <c r="DA203" s="753"/>
      <c r="DB203" s="753"/>
      <c r="DC203" s="753"/>
      <c r="DD203" s="753"/>
      <c r="DE203" s="753"/>
      <c r="DF203" s="753"/>
      <c r="DG203" s="753"/>
      <c r="DH203" s="753"/>
      <c r="DI203" s="753"/>
      <c r="DJ203" s="753"/>
      <c r="DK203" s="753"/>
      <c r="DL203" s="753"/>
      <c r="DM203" s="776"/>
    </row>
    <row r="204" spans="1:117" s="758" customFormat="1">
      <c r="A204" s="784"/>
      <c r="B204" s="800"/>
      <c r="C204" s="804"/>
      <c r="D204" s="805"/>
      <c r="E204" s="802"/>
      <c r="F204" s="780"/>
      <c r="G204" s="780"/>
      <c r="H204" s="780"/>
      <c r="I204" s="780"/>
      <c r="J204" s="1063"/>
      <c r="K204" s="1063"/>
      <c r="L204" s="1063"/>
      <c r="M204" s="1081"/>
      <c r="N204" s="1083"/>
      <c r="O204" s="1130"/>
      <c r="P204" s="1130"/>
      <c r="Q204" s="1039"/>
      <c r="R204" s="1039"/>
      <c r="S204" s="1039"/>
      <c r="T204" s="1039"/>
      <c r="U204" s="1039"/>
      <c r="V204" s="1039"/>
      <c r="W204" s="1039"/>
      <c r="X204" s="1039"/>
      <c r="Y204" s="1039"/>
      <c r="Z204" s="1039"/>
      <c r="AI204" s="1034"/>
      <c r="AJ204" s="1034"/>
      <c r="AK204" s="1034"/>
      <c r="AL204" s="1034"/>
      <c r="AM204" s="1034"/>
      <c r="AN204" s="1034"/>
      <c r="AO204" s="1034"/>
      <c r="CN204" s="753"/>
      <c r="CO204" s="753"/>
      <c r="CP204" s="753"/>
      <c r="CQ204" s="753"/>
      <c r="CR204" s="753"/>
      <c r="CS204" s="753"/>
      <c r="CT204" s="753"/>
      <c r="CU204" s="753"/>
      <c r="CV204" s="753"/>
      <c r="CW204" s="753"/>
      <c r="CX204" s="753"/>
      <c r="CY204" s="753"/>
      <c r="CZ204" s="753"/>
      <c r="DA204" s="753"/>
      <c r="DB204" s="753"/>
      <c r="DC204" s="753"/>
      <c r="DD204" s="753"/>
      <c r="DE204" s="753"/>
      <c r="DF204" s="753"/>
      <c r="DG204" s="753"/>
      <c r="DH204" s="753"/>
      <c r="DI204" s="753"/>
      <c r="DJ204" s="753"/>
      <c r="DK204" s="753"/>
      <c r="DL204" s="753"/>
      <c r="DM204" s="776"/>
    </row>
    <row r="205" spans="1:117" s="758" customFormat="1">
      <c r="A205" s="798"/>
      <c r="B205" s="800"/>
      <c r="C205" s="780"/>
      <c r="D205" s="804"/>
      <c r="E205" s="780"/>
      <c r="F205" s="780"/>
      <c r="G205" s="780"/>
      <c r="H205" s="780"/>
      <c r="I205" s="780"/>
      <c r="J205" s="1063"/>
      <c r="K205" s="1063"/>
      <c r="L205" s="1063"/>
      <c r="M205" s="1081"/>
      <c r="N205" s="1137"/>
      <c r="O205" s="1130"/>
      <c r="P205" s="1130"/>
      <c r="Q205" s="1039"/>
      <c r="R205" s="1039"/>
      <c r="S205" s="1039"/>
      <c r="T205" s="1039"/>
      <c r="U205" s="1039"/>
      <c r="V205" s="1039"/>
      <c r="W205" s="1039"/>
      <c r="X205" s="1039"/>
      <c r="Y205" s="1039"/>
      <c r="Z205" s="1039"/>
      <c r="AI205" s="1034"/>
      <c r="AJ205" s="1034"/>
      <c r="AK205" s="1034"/>
      <c r="AL205" s="1034"/>
      <c r="AM205" s="1034"/>
      <c r="AN205" s="1034"/>
      <c r="AO205" s="1034"/>
      <c r="CN205" s="753"/>
      <c r="CO205" s="753"/>
      <c r="CP205" s="753"/>
      <c r="CQ205" s="753"/>
      <c r="CR205" s="753"/>
      <c r="CS205" s="753"/>
      <c r="CT205" s="753"/>
      <c r="CU205" s="753"/>
      <c r="CV205" s="753"/>
      <c r="CW205" s="753"/>
      <c r="CX205" s="753"/>
      <c r="CY205" s="753"/>
      <c r="CZ205" s="753"/>
      <c r="DA205" s="753"/>
      <c r="DB205" s="753"/>
      <c r="DC205" s="753"/>
      <c r="DD205" s="753"/>
      <c r="DE205" s="753"/>
      <c r="DF205" s="753"/>
      <c r="DG205" s="753"/>
      <c r="DH205" s="753"/>
      <c r="DI205" s="753"/>
      <c r="DJ205" s="753"/>
      <c r="DK205" s="753"/>
      <c r="DL205" s="753"/>
      <c r="DM205" s="776"/>
    </row>
    <row r="206" spans="1:117" s="758" customFormat="1">
      <c r="A206" s="798"/>
      <c r="B206" s="800"/>
      <c r="C206" s="780"/>
      <c r="D206" s="780"/>
      <c r="E206" s="780"/>
      <c r="F206" s="780"/>
      <c r="G206" s="801"/>
      <c r="H206" s="780"/>
      <c r="I206" s="780"/>
      <c r="J206" s="1063"/>
      <c r="K206" s="1063"/>
      <c r="L206" s="1063"/>
      <c r="M206" s="782"/>
      <c r="N206" s="1137"/>
      <c r="O206" s="1130"/>
      <c r="P206" s="783"/>
      <c r="Q206" s="1039"/>
      <c r="R206" s="1039"/>
      <c r="S206" s="1039"/>
      <c r="T206" s="1039"/>
      <c r="U206" s="1039"/>
      <c r="V206" s="1039"/>
      <c r="W206" s="1039"/>
      <c r="X206" s="1039"/>
      <c r="Y206" s="1039"/>
      <c r="Z206" s="1039"/>
      <c r="AI206" s="1034"/>
      <c r="AJ206" s="1034"/>
      <c r="AK206" s="1034"/>
      <c r="AL206" s="1034"/>
      <c r="AM206" s="1034"/>
      <c r="AN206" s="1034"/>
      <c r="AO206" s="1034"/>
      <c r="CN206" s="753"/>
      <c r="CO206" s="753"/>
      <c r="CP206" s="753"/>
      <c r="CQ206" s="753"/>
      <c r="CR206" s="753"/>
      <c r="CS206" s="753"/>
      <c r="CT206" s="753"/>
      <c r="CU206" s="753"/>
      <c r="CV206" s="753"/>
      <c r="CW206" s="753"/>
      <c r="CX206" s="753"/>
      <c r="CY206" s="753"/>
      <c r="CZ206" s="753"/>
      <c r="DA206" s="753"/>
      <c r="DB206" s="753"/>
      <c r="DC206" s="753"/>
      <c r="DD206" s="753"/>
      <c r="DE206" s="753"/>
      <c r="DF206" s="753"/>
      <c r="DG206" s="753"/>
      <c r="DH206" s="753"/>
      <c r="DI206" s="753"/>
      <c r="DJ206" s="753"/>
      <c r="DK206" s="753"/>
      <c r="DL206" s="753"/>
      <c r="DM206" s="776"/>
    </row>
    <row r="207" spans="1:117" s="758" customFormat="1">
      <c r="A207" s="784"/>
      <c r="B207" s="800"/>
      <c r="C207" s="804"/>
      <c r="D207" s="773"/>
      <c r="E207" s="773"/>
      <c r="F207" s="773"/>
      <c r="G207" s="773"/>
      <c r="H207" s="773"/>
      <c r="I207" s="773"/>
      <c r="J207" s="1063"/>
      <c r="K207" s="1063"/>
      <c r="L207" s="1063"/>
      <c r="M207" s="782"/>
      <c r="N207" s="1137"/>
      <c r="O207" s="1130"/>
      <c r="P207" s="783"/>
      <c r="Q207" s="1039"/>
      <c r="R207" s="1039"/>
      <c r="S207" s="1039"/>
      <c r="T207" s="1039"/>
      <c r="U207" s="1039"/>
      <c r="V207" s="1039"/>
      <c r="W207" s="1039"/>
      <c r="X207" s="1039"/>
      <c r="Y207" s="1039"/>
      <c r="Z207" s="1039"/>
      <c r="AI207" s="1034"/>
      <c r="AJ207" s="1034"/>
      <c r="AK207" s="1034"/>
      <c r="AL207" s="1034"/>
      <c r="AM207" s="1034"/>
      <c r="AN207" s="1034"/>
      <c r="AO207" s="1034"/>
      <c r="CN207" s="753"/>
      <c r="CO207" s="753"/>
      <c r="CP207" s="753"/>
      <c r="CQ207" s="753"/>
      <c r="CR207" s="753"/>
      <c r="CS207" s="753"/>
      <c r="CT207" s="753"/>
      <c r="CU207" s="753"/>
      <c r="CV207" s="753"/>
      <c r="CW207" s="753"/>
      <c r="CX207" s="753"/>
      <c r="CY207" s="753"/>
      <c r="CZ207" s="753"/>
      <c r="DA207" s="753"/>
      <c r="DB207" s="753"/>
      <c r="DC207" s="753"/>
      <c r="DD207" s="753"/>
      <c r="DE207" s="753"/>
      <c r="DF207" s="753"/>
      <c r="DG207" s="753"/>
      <c r="DH207" s="753"/>
      <c r="DI207" s="753"/>
      <c r="DJ207" s="753"/>
      <c r="DK207" s="753"/>
      <c r="DL207" s="753"/>
      <c r="DM207" s="776"/>
    </row>
    <row r="208" spans="1:117" s="758" customFormat="1">
      <c r="A208" s="784"/>
      <c r="B208" s="769"/>
      <c r="C208" s="773"/>
      <c r="D208" s="804"/>
      <c r="E208" s="773"/>
      <c r="F208" s="773"/>
      <c r="G208" s="773"/>
      <c r="H208" s="773"/>
      <c r="I208" s="773"/>
      <c r="J208" s="1063"/>
      <c r="K208" s="1063"/>
      <c r="L208" s="1063"/>
      <c r="M208" s="1063"/>
      <c r="N208" s="1039"/>
      <c r="O208" s="1039"/>
      <c r="P208" s="1130"/>
      <c r="Q208" s="1039"/>
      <c r="R208" s="1039"/>
      <c r="S208" s="1039"/>
      <c r="T208" s="1039"/>
      <c r="U208" s="1039"/>
      <c r="V208" s="1039"/>
      <c r="W208" s="1039"/>
      <c r="X208" s="1039"/>
      <c r="Y208" s="1039"/>
      <c r="Z208" s="1039"/>
      <c r="AI208" s="1034"/>
      <c r="AJ208" s="1034"/>
      <c r="AK208" s="1034"/>
      <c r="AL208" s="1034"/>
      <c r="AM208" s="1034"/>
      <c r="AN208" s="1034"/>
      <c r="AO208" s="1034"/>
      <c r="CN208" s="753"/>
      <c r="CO208" s="753"/>
      <c r="CP208" s="753"/>
      <c r="CQ208" s="753"/>
      <c r="CR208" s="753"/>
      <c r="CS208" s="753"/>
      <c r="CT208" s="753"/>
      <c r="CU208" s="753"/>
      <c r="CV208" s="753"/>
      <c r="CW208" s="753"/>
      <c r="CX208" s="753"/>
      <c r="CY208" s="753"/>
      <c r="CZ208" s="753"/>
      <c r="DA208" s="753"/>
      <c r="DB208" s="753"/>
      <c r="DC208" s="753"/>
      <c r="DD208" s="753"/>
      <c r="DE208" s="753"/>
      <c r="DF208" s="753"/>
      <c r="DG208" s="753"/>
      <c r="DH208" s="753"/>
      <c r="DI208" s="753"/>
      <c r="DJ208" s="753"/>
      <c r="DK208" s="753"/>
      <c r="DL208" s="753"/>
      <c r="DM208" s="776"/>
    </row>
    <row r="209" spans="1:117" s="758" customFormat="1">
      <c r="A209" s="773"/>
      <c r="B209" s="780"/>
      <c r="C209" s="773"/>
      <c r="D209" s="804"/>
      <c r="E209" s="773"/>
      <c r="F209" s="773"/>
      <c r="G209" s="773"/>
      <c r="H209" s="780"/>
      <c r="I209" s="773"/>
      <c r="J209" s="1063"/>
      <c r="K209" s="1063"/>
      <c r="L209" s="1063"/>
      <c r="M209" s="1081"/>
      <c r="N209" s="1083"/>
      <c r="O209" s="1130"/>
      <c r="P209" s="1130"/>
      <c r="Q209" s="1039"/>
      <c r="R209" s="1039"/>
      <c r="S209" s="1039"/>
      <c r="T209" s="1039"/>
      <c r="U209" s="1039"/>
      <c r="V209" s="1039"/>
      <c r="W209" s="1039"/>
      <c r="X209" s="1039"/>
      <c r="Y209" s="1039"/>
      <c r="Z209" s="1039"/>
      <c r="AI209" s="1034"/>
      <c r="AJ209" s="1034"/>
      <c r="AK209" s="1034"/>
      <c r="AL209" s="1034"/>
      <c r="AM209" s="1034"/>
      <c r="AN209" s="1034"/>
      <c r="AO209" s="1034"/>
      <c r="CN209" s="753"/>
      <c r="CO209" s="753"/>
      <c r="CP209" s="753"/>
      <c r="CQ209" s="753"/>
      <c r="CR209" s="753"/>
      <c r="CS209" s="753"/>
      <c r="CT209" s="753"/>
      <c r="CU209" s="753"/>
      <c r="CV209" s="753"/>
      <c r="CW209" s="753"/>
      <c r="CX209" s="753"/>
      <c r="CY209" s="753"/>
      <c r="CZ209" s="753"/>
      <c r="DA209" s="753"/>
      <c r="DB209" s="753"/>
      <c r="DC209" s="753"/>
      <c r="DD209" s="753"/>
      <c r="DE209" s="753"/>
      <c r="DF209" s="753"/>
      <c r="DG209" s="753"/>
      <c r="DH209" s="753"/>
      <c r="DI209" s="753"/>
      <c r="DJ209" s="753"/>
      <c r="DK209" s="753"/>
      <c r="DL209" s="753"/>
      <c r="DM209" s="776"/>
    </row>
    <row r="210" spans="1:117" s="758" customFormat="1">
      <c r="A210" s="780"/>
      <c r="B210" s="780"/>
      <c r="C210" s="780"/>
      <c r="D210" s="780"/>
      <c r="E210" s="780"/>
      <c r="F210" s="780"/>
      <c r="G210" s="780"/>
      <c r="H210" s="801"/>
      <c r="I210" s="773"/>
      <c r="J210" s="1063"/>
      <c r="K210" s="1063"/>
      <c r="L210" s="1063"/>
      <c r="M210" s="1081"/>
      <c r="N210" s="1083"/>
      <c r="O210" s="1130"/>
      <c r="P210" s="1130"/>
      <c r="Q210" s="1039"/>
      <c r="R210" s="1039"/>
      <c r="S210" s="1039"/>
      <c r="T210" s="1039"/>
      <c r="U210" s="1039"/>
      <c r="V210" s="1039"/>
      <c r="W210" s="1039"/>
      <c r="X210" s="1039"/>
      <c r="Y210" s="1039"/>
      <c r="Z210" s="1039"/>
      <c r="AI210" s="1034"/>
      <c r="AJ210" s="1034"/>
      <c r="AK210" s="1034"/>
      <c r="AL210" s="1034"/>
      <c r="AM210" s="1034"/>
      <c r="AN210" s="1034"/>
      <c r="AO210" s="1034"/>
      <c r="CN210" s="753"/>
      <c r="CO210" s="753"/>
      <c r="CP210" s="753"/>
      <c r="CQ210" s="753"/>
      <c r="CR210" s="753"/>
      <c r="CS210" s="753"/>
      <c r="CT210" s="753"/>
      <c r="CU210" s="753"/>
      <c r="CV210" s="753"/>
      <c r="CW210" s="753"/>
      <c r="CX210" s="753"/>
      <c r="CY210" s="753"/>
      <c r="CZ210" s="753"/>
      <c r="DA210" s="753"/>
      <c r="DB210" s="753"/>
      <c r="DC210" s="753"/>
      <c r="DD210" s="753"/>
      <c r="DE210" s="753"/>
      <c r="DF210" s="753"/>
      <c r="DG210" s="753"/>
      <c r="DH210" s="753"/>
      <c r="DI210" s="753"/>
      <c r="DJ210" s="753"/>
      <c r="DK210" s="753"/>
      <c r="DL210" s="753"/>
      <c r="DM210" s="776"/>
    </row>
    <row r="211" spans="1:117" s="758" customFormat="1">
      <c r="A211" s="780"/>
      <c r="B211" s="780"/>
      <c r="C211" s="780"/>
      <c r="D211" s="780"/>
      <c r="E211" s="780"/>
      <c r="F211" s="780"/>
      <c r="G211" s="780"/>
      <c r="H211" s="801"/>
      <c r="I211" s="773"/>
      <c r="J211" s="1063"/>
      <c r="K211" s="1063"/>
      <c r="L211" s="1063"/>
      <c r="M211" s="1081"/>
      <c r="N211" s="1083"/>
      <c r="O211" s="1130"/>
      <c r="P211" s="1130"/>
      <c r="Q211" s="1039"/>
      <c r="R211" s="1039"/>
      <c r="S211" s="1039"/>
      <c r="T211" s="1039"/>
      <c r="U211" s="1039"/>
      <c r="V211" s="1039"/>
      <c r="W211" s="1039"/>
      <c r="X211" s="1039"/>
      <c r="Y211" s="1039"/>
      <c r="Z211" s="1039"/>
      <c r="AI211" s="1034"/>
      <c r="AJ211" s="1034"/>
      <c r="AK211" s="1034"/>
      <c r="AL211" s="1034"/>
      <c r="AM211" s="1034"/>
      <c r="AN211" s="1034"/>
      <c r="AO211" s="1034"/>
      <c r="CN211" s="753"/>
      <c r="CO211" s="753"/>
      <c r="CP211" s="753"/>
      <c r="CQ211" s="753"/>
      <c r="CR211" s="753"/>
      <c r="CS211" s="753"/>
      <c r="CT211" s="753"/>
      <c r="CU211" s="753"/>
      <c r="CV211" s="753"/>
      <c r="CW211" s="753"/>
      <c r="CX211" s="753"/>
      <c r="CY211" s="753"/>
      <c r="CZ211" s="753"/>
      <c r="DA211" s="753"/>
      <c r="DB211" s="753"/>
      <c r="DC211" s="753"/>
      <c r="DD211" s="753"/>
      <c r="DE211" s="753"/>
      <c r="DF211" s="753"/>
      <c r="DG211" s="753"/>
      <c r="DH211" s="753"/>
      <c r="DI211" s="753"/>
      <c r="DJ211" s="753"/>
      <c r="DK211" s="753"/>
      <c r="DL211" s="753"/>
      <c r="DM211" s="776"/>
    </row>
    <row r="212" spans="1:117" s="758" customFormat="1">
      <c r="A212" s="780"/>
      <c r="B212" s="780"/>
      <c r="C212" s="780"/>
      <c r="D212" s="780"/>
      <c r="E212" s="780"/>
      <c r="F212" s="780"/>
      <c r="G212" s="780"/>
      <c r="H212" s="801"/>
      <c r="I212" s="773"/>
      <c r="J212" s="1063"/>
      <c r="K212" s="1063"/>
      <c r="L212" s="1063"/>
      <c r="M212" s="1081"/>
      <c r="N212" s="1083"/>
      <c r="O212" s="1130"/>
      <c r="P212" s="1130"/>
      <c r="Q212" s="1039"/>
      <c r="R212" s="1039"/>
      <c r="S212" s="1039"/>
      <c r="T212" s="1039"/>
      <c r="U212" s="1039"/>
      <c r="V212" s="1039"/>
      <c r="W212" s="1039"/>
      <c r="X212" s="1039"/>
      <c r="Y212" s="1039"/>
      <c r="Z212" s="1039"/>
      <c r="AI212" s="1034"/>
      <c r="AJ212" s="1034"/>
      <c r="AK212" s="1034"/>
      <c r="AL212" s="1034"/>
      <c r="AM212" s="1034"/>
      <c r="AN212" s="1034"/>
      <c r="AO212" s="1034"/>
      <c r="CN212" s="753"/>
      <c r="CO212" s="753"/>
      <c r="CP212" s="753"/>
      <c r="CQ212" s="753"/>
      <c r="CR212" s="753"/>
      <c r="CS212" s="753"/>
      <c r="CT212" s="753"/>
      <c r="CU212" s="753"/>
      <c r="CV212" s="753"/>
      <c r="CW212" s="753"/>
      <c r="CX212" s="753"/>
      <c r="CY212" s="753"/>
      <c r="CZ212" s="753"/>
      <c r="DA212" s="753"/>
      <c r="DB212" s="753"/>
      <c r="DC212" s="753"/>
      <c r="DD212" s="753"/>
      <c r="DE212" s="753"/>
      <c r="DF212" s="753"/>
      <c r="DG212" s="753"/>
      <c r="DH212" s="753"/>
      <c r="DI212" s="753"/>
      <c r="DJ212" s="753"/>
      <c r="DK212" s="753"/>
      <c r="DL212" s="753"/>
      <c r="DM212" s="776"/>
    </row>
    <row r="213" spans="1:117" s="758" customFormat="1">
      <c r="A213" s="780"/>
      <c r="B213" s="780"/>
      <c r="C213" s="780"/>
      <c r="D213" s="780"/>
      <c r="E213" s="780"/>
      <c r="F213" s="780"/>
      <c r="G213" s="780"/>
      <c r="H213" s="801"/>
      <c r="I213" s="773"/>
      <c r="J213" s="1063"/>
      <c r="K213" s="1063"/>
      <c r="L213" s="1063"/>
      <c r="M213" s="1081"/>
      <c r="N213" s="1083"/>
      <c r="O213" s="1130"/>
      <c r="P213" s="1130"/>
      <c r="Q213" s="1039"/>
      <c r="R213" s="1039"/>
      <c r="S213" s="1039"/>
      <c r="T213" s="1039"/>
      <c r="U213" s="1039"/>
      <c r="V213" s="1039"/>
      <c r="W213" s="1039"/>
      <c r="X213" s="1039"/>
      <c r="Y213" s="1039"/>
      <c r="Z213" s="1039"/>
      <c r="AI213" s="1034"/>
      <c r="AJ213" s="1034"/>
      <c r="AK213" s="1034"/>
      <c r="AL213" s="1034"/>
      <c r="AM213" s="1034"/>
      <c r="AN213" s="1034"/>
      <c r="AO213" s="1034"/>
      <c r="CN213" s="753"/>
      <c r="CO213" s="753"/>
      <c r="CP213" s="753"/>
      <c r="CQ213" s="753"/>
      <c r="CR213" s="753"/>
      <c r="CS213" s="753"/>
      <c r="CT213" s="753"/>
      <c r="CU213" s="753"/>
      <c r="CV213" s="753"/>
      <c r="CW213" s="753"/>
      <c r="CX213" s="753"/>
      <c r="CY213" s="753"/>
      <c r="CZ213" s="753"/>
      <c r="DA213" s="753"/>
      <c r="DB213" s="753"/>
      <c r="DC213" s="753"/>
      <c r="DD213" s="753"/>
      <c r="DE213" s="753"/>
      <c r="DF213" s="753"/>
      <c r="DG213" s="753"/>
      <c r="DH213" s="753"/>
      <c r="DI213" s="753"/>
      <c r="DJ213" s="753"/>
      <c r="DK213" s="753"/>
      <c r="DL213" s="753"/>
      <c r="DM213" s="776"/>
    </row>
    <row r="214" spans="1:117" s="758" customFormat="1">
      <c r="A214" s="780"/>
      <c r="B214" s="780"/>
      <c r="C214" s="780"/>
      <c r="D214" s="780"/>
      <c r="E214" s="773"/>
      <c r="F214" s="773"/>
      <c r="G214" s="773"/>
      <c r="H214" s="788"/>
      <c r="I214" s="764"/>
      <c r="J214" s="1063"/>
      <c r="K214" s="1063"/>
      <c r="L214" s="1063"/>
      <c r="M214" s="1063"/>
      <c r="N214" s="1039"/>
      <c r="O214" s="1039"/>
      <c r="P214" s="1130"/>
      <c r="Q214" s="1039"/>
      <c r="R214" s="1039"/>
      <c r="S214" s="1039"/>
      <c r="T214" s="1039"/>
      <c r="U214" s="1039"/>
      <c r="V214" s="1039"/>
      <c r="W214" s="1039"/>
      <c r="X214" s="1039"/>
      <c r="Y214" s="1039"/>
      <c r="Z214" s="1039"/>
      <c r="AI214" s="1034"/>
      <c r="AJ214" s="1034"/>
      <c r="AK214" s="1034"/>
      <c r="AL214" s="1034"/>
      <c r="AM214" s="1034"/>
      <c r="AN214" s="1034"/>
      <c r="AO214" s="1034"/>
      <c r="CN214" s="753"/>
      <c r="CO214" s="753"/>
      <c r="CP214" s="753"/>
      <c r="CQ214" s="753"/>
      <c r="CR214" s="753"/>
      <c r="CS214" s="753"/>
      <c r="CT214" s="753"/>
      <c r="CU214" s="753"/>
      <c r="CV214" s="753"/>
      <c r="CW214" s="753"/>
      <c r="CX214" s="753"/>
      <c r="CY214" s="753"/>
      <c r="CZ214" s="753"/>
      <c r="DA214" s="753"/>
      <c r="DB214" s="753"/>
      <c r="DC214" s="753"/>
      <c r="DD214" s="753"/>
      <c r="DE214" s="753"/>
      <c r="DF214" s="753"/>
      <c r="DG214" s="753"/>
      <c r="DH214" s="753"/>
      <c r="DI214" s="753"/>
      <c r="DJ214" s="753"/>
      <c r="DK214" s="753"/>
      <c r="DL214" s="753"/>
      <c r="DM214" s="776"/>
    </row>
    <row r="215" spans="1:117" s="758" customFormat="1">
      <c r="A215" s="780"/>
      <c r="B215" s="780"/>
      <c r="C215" s="780"/>
      <c r="D215" s="780"/>
      <c r="E215" s="780"/>
      <c r="F215" s="780"/>
      <c r="G215" s="780"/>
      <c r="H215" s="788"/>
      <c r="I215" s="789"/>
      <c r="J215" s="1063"/>
      <c r="K215" s="1063"/>
      <c r="L215" s="1063"/>
      <c r="M215" s="1081"/>
      <c r="N215" s="1090"/>
      <c r="O215" s="1130"/>
      <c r="P215" s="1130"/>
      <c r="Q215" s="1039"/>
      <c r="R215" s="1039"/>
      <c r="S215" s="1039"/>
      <c r="T215" s="1039"/>
      <c r="U215" s="1039"/>
      <c r="V215" s="1039"/>
      <c r="W215" s="1039"/>
      <c r="X215" s="1039"/>
      <c r="Y215" s="1039"/>
      <c r="Z215" s="1039"/>
      <c r="AI215" s="1034"/>
      <c r="AJ215" s="1034"/>
      <c r="AK215" s="1034"/>
      <c r="AL215" s="1034"/>
      <c r="AM215" s="1034"/>
      <c r="AN215" s="1034"/>
      <c r="AO215" s="1034"/>
      <c r="CN215" s="753"/>
      <c r="CO215" s="753"/>
      <c r="CP215" s="753"/>
      <c r="CQ215" s="753"/>
      <c r="CR215" s="753"/>
      <c r="CS215" s="753"/>
      <c r="CT215" s="753"/>
      <c r="CU215" s="753"/>
      <c r="CV215" s="753"/>
      <c r="CW215" s="753"/>
      <c r="CX215" s="753"/>
      <c r="CY215" s="753"/>
      <c r="CZ215" s="753"/>
      <c r="DA215" s="753"/>
      <c r="DB215" s="753"/>
      <c r="DC215" s="753"/>
      <c r="DD215" s="753"/>
      <c r="DE215" s="753"/>
      <c r="DF215" s="753"/>
      <c r="DG215" s="753"/>
      <c r="DH215" s="753"/>
      <c r="DI215" s="753"/>
      <c r="DJ215" s="753"/>
      <c r="DK215" s="753"/>
      <c r="DL215" s="753"/>
      <c r="DM215" s="776"/>
    </row>
    <row r="216" spans="1:117" s="758" customFormat="1">
      <c r="A216" s="820"/>
      <c r="B216" s="774"/>
      <c r="C216" s="780"/>
      <c r="D216" s="780"/>
      <c r="E216" s="780"/>
      <c r="F216" s="780"/>
      <c r="G216" s="780"/>
      <c r="H216" s="788"/>
      <c r="I216" s="790"/>
      <c r="J216" s="1063"/>
      <c r="K216" s="1063"/>
      <c r="L216" s="1063"/>
      <c r="M216" s="1081"/>
      <c r="N216" s="1090"/>
      <c r="O216" s="1130"/>
      <c r="P216" s="1130"/>
      <c r="Q216" s="1039"/>
      <c r="R216" s="1039"/>
      <c r="S216" s="1039"/>
      <c r="T216" s="1039"/>
      <c r="U216" s="1039"/>
      <c r="V216" s="1039"/>
      <c r="W216" s="1039"/>
      <c r="X216" s="1039"/>
      <c r="Y216" s="1039"/>
      <c r="Z216" s="1039"/>
      <c r="AI216" s="1034"/>
      <c r="AJ216" s="1034"/>
      <c r="AK216" s="1034"/>
      <c r="AL216" s="1034"/>
      <c r="AM216" s="1034"/>
      <c r="AN216" s="1034"/>
      <c r="AO216" s="1034"/>
      <c r="CN216" s="753"/>
      <c r="CO216" s="753"/>
      <c r="CP216" s="753"/>
      <c r="CQ216" s="753"/>
      <c r="CR216" s="753"/>
      <c r="CS216" s="753"/>
      <c r="CT216" s="753"/>
      <c r="CU216" s="753"/>
      <c r="CV216" s="753"/>
      <c r="CW216" s="753"/>
      <c r="CX216" s="753"/>
      <c r="CY216" s="753"/>
      <c r="CZ216" s="753"/>
      <c r="DA216" s="753"/>
      <c r="DB216" s="753"/>
      <c r="DC216" s="753"/>
      <c r="DD216" s="753"/>
      <c r="DE216" s="753"/>
      <c r="DF216" s="753"/>
      <c r="DG216" s="753"/>
      <c r="DH216" s="753"/>
      <c r="DI216" s="753"/>
      <c r="DJ216" s="753"/>
      <c r="DK216" s="753"/>
      <c r="DL216" s="753"/>
      <c r="DM216" s="776"/>
    </row>
    <row r="217" spans="1:117" s="758" customFormat="1">
      <c r="A217" s="784"/>
      <c r="B217" s="774"/>
      <c r="C217" s="804"/>
      <c r="D217" s="804"/>
      <c r="E217" s="780"/>
      <c r="F217" s="773"/>
      <c r="G217" s="780"/>
      <c r="H217" s="788"/>
      <c r="I217" s="769"/>
      <c r="J217" s="1063"/>
      <c r="K217" s="1063"/>
      <c r="L217" s="1063"/>
      <c r="M217" s="1081"/>
      <c r="N217" s="1083"/>
      <c r="O217" s="1130"/>
      <c r="P217" s="1130"/>
      <c r="Q217" s="1039"/>
      <c r="R217" s="1039"/>
      <c r="S217" s="1039"/>
      <c r="T217" s="1039"/>
      <c r="U217" s="1039"/>
      <c r="V217" s="1039"/>
      <c r="W217" s="1039"/>
      <c r="X217" s="1039"/>
      <c r="Y217" s="1039"/>
      <c r="Z217" s="1039"/>
      <c r="AI217" s="1034"/>
      <c r="AJ217" s="1034"/>
      <c r="AK217" s="1034"/>
      <c r="AL217" s="1034"/>
      <c r="AM217" s="1034"/>
      <c r="AN217" s="1034"/>
      <c r="AO217" s="1034"/>
      <c r="CN217" s="753"/>
      <c r="CO217" s="753"/>
      <c r="CP217" s="753"/>
      <c r="CQ217" s="753"/>
      <c r="CR217" s="753"/>
      <c r="CS217" s="753"/>
      <c r="CT217" s="753"/>
      <c r="CU217" s="753"/>
      <c r="CV217" s="753"/>
      <c r="CW217" s="753"/>
      <c r="CX217" s="753"/>
      <c r="CY217" s="753"/>
      <c r="CZ217" s="753"/>
      <c r="DA217" s="753"/>
      <c r="DB217" s="753"/>
      <c r="DC217" s="753"/>
      <c r="DD217" s="753"/>
      <c r="DE217" s="753"/>
      <c r="DF217" s="753"/>
      <c r="DG217" s="753"/>
      <c r="DH217" s="753"/>
      <c r="DI217" s="753"/>
      <c r="DJ217" s="753"/>
      <c r="DK217" s="753"/>
      <c r="DL217" s="753"/>
      <c r="DM217" s="776"/>
    </row>
    <row r="218" spans="1:117" s="758" customFormat="1">
      <c r="A218" s="784"/>
      <c r="B218" s="774"/>
      <c r="C218" s="804"/>
      <c r="D218" s="804"/>
      <c r="E218" s="780"/>
      <c r="F218" s="773"/>
      <c r="G218" s="780"/>
      <c r="H218" s="788"/>
      <c r="I218" s="769"/>
      <c r="J218" s="1063"/>
      <c r="K218" s="1063"/>
      <c r="L218" s="1063"/>
      <c r="M218" s="1081"/>
      <c r="N218" s="1083"/>
      <c r="O218" s="1130"/>
      <c r="P218" s="1130"/>
      <c r="Q218" s="1039"/>
      <c r="R218" s="1039"/>
      <c r="S218" s="1039"/>
      <c r="T218" s="1039"/>
      <c r="U218" s="1039"/>
      <c r="V218" s="1039"/>
      <c r="W218" s="1039"/>
      <c r="X218" s="1039"/>
      <c r="Y218" s="1039"/>
      <c r="Z218" s="1039"/>
      <c r="AI218" s="1034"/>
      <c r="AJ218" s="1034"/>
      <c r="AK218" s="1034"/>
      <c r="AL218" s="1034"/>
      <c r="AM218" s="1034"/>
      <c r="AN218" s="1034"/>
      <c r="AO218" s="1034"/>
      <c r="CN218" s="753"/>
      <c r="CO218" s="753"/>
      <c r="CP218" s="753"/>
      <c r="CQ218" s="753"/>
      <c r="CR218" s="753"/>
      <c r="CS218" s="753"/>
      <c r="CT218" s="753"/>
      <c r="CU218" s="753"/>
      <c r="CV218" s="753"/>
      <c r="CW218" s="753"/>
      <c r="CX218" s="753"/>
      <c r="CY218" s="753"/>
      <c r="CZ218" s="753"/>
      <c r="DA218" s="753"/>
      <c r="DB218" s="753"/>
      <c r="DC218" s="753"/>
      <c r="DD218" s="753"/>
      <c r="DE218" s="753"/>
      <c r="DF218" s="753"/>
      <c r="DG218" s="753"/>
      <c r="DH218" s="753"/>
      <c r="DI218" s="753"/>
      <c r="DJ218" s="753"/>
      <c r="DK218" s="753"/>
      <c r="DL218" s="753"/>
      <c r="DM218" s="776"/>
    </row>
    <row r="219" spans="1:117" s="758" customFormat="1">
      <c r="A219" s="798"/>
      <c r="B219" s="774"/>
      <c r="C219" s="804"/>
      <c r="D219" s="804"/>
      <c r="E219" s="753"/>
      <c r="F219" s="753"/>
      <c r="G219" s="753"/>
      <c r="H219" s="780"/>
      <c r="I219" s="780"/>
      <c r="J219" s="1063"/>
      <c r="K219" s="1063"/>
      <c r="L219" s="1063"/>
      <c r="M219" s="1081"/>
      <c r="N219" s="1083"/>
      <c r="O219" s="1130"/>
      <c r="P219" s="1130"/>
      <c r="Q219" s="1039"/>
      <c r="R219" s="1039"/>
      <c r="S219" s="1039"/>
      <c r="T219" s="1039"/>
      <c r="U219" s="1039"/>
      <c r="V219" s="1039"/>
      <c r="W219" s="1039"/>
      <c r="X219" s="1039"/>
      <c r="Y219" s="1039"/>
      <c r="Z219" s="1039"/>
      <c r="AI219" s="1034"/>
      <c r="AJ219" s="1034"/>
      <c r="AK219" s="1034"/>
      <c r="AL219" s="1034"/>
      <c r="AM219" s="1034"/>
      <c r="AN219" s="1034"/>
      <c r="AO219" s="1034"/>
      <c r="CN219" s="753"/>
      <c r="CO219" s="753"/>
      <c r="CP219" s="753"/>
      <c r="CQ219" s="753"/>
      <c r="CR219" s="753"/>
      <c r="CS219" s="753"/>
      <c r="CT219" s="753"/>
      <c r="CU219" s="753"/>
      <c r="CV219" s="753"/>
      <c r="CW219" s="753"/>
      <c r="CX219" s="753"/>
      <c r="CY219" s="753"/>
      <c r="CZ219" s="753"/>
      <c r="DA219" s="753"/>
      <c r="DB219" s="753"/>
      <c r="DC219" s="753"/>
      <c r="DD219" s="753"/>
      <c r="DE219" s="753"/>
      <c r="DF219" s="753"/>
      <c r="DG219" s="753"/>
      <c r="DH219" s="753"/>
      <c r="DI219" s="753"/>
      <c r="DJ219" s="753"/>
      <c r="DK219" s="753"/>
      <c r="DL219" s="753"/>
      <c r="DM219" s="776"/>
    </row>
    <row r="220" spans="1:117" s="758" customFormat="1">
      <c r="A220" s="784"/>
      <c r="B220" s="774"/>
      <c r="C220" s="804"/>
      <c r="D220" s="804"/>
      <c r="E220" s="780"/>
      <c r="F220" s="780"/>
      <c r="G220" s="780"/>
      <c r="H220" s="780"/>
      <c r="I220" s="780"/>
      <c r="J220" s="1063"/>
      <c r="K220" s="1063"/>
      <c r="L220" s="1063"/>
      <c r="M220" s="1063"/>
      <c r="N220" s="1039"/>
      <c r="O220" s="1090"/>
      <c r="P220" s="1039"/>
      <c r="Q220" s="1039"/>
      <c r="R220" s="1039"/>
      <c r="S220" s="1039"/>
      <c r="T220" s="1039"/>
      <c r="U220" s="1039"/>
      <c r="V220" s="1039"/>
      <c r="W220" s="1039"/>
      <c r="X220" s="1039"/>
      <c r="Y220" s="1039"/>
      <c r="Z220" s="1039"/>
      <c r="AI220" s="1034"/>
      <c r="AJ220" s="1034"/>
      <c r="AK220" s="1034"/>
      <c r="AL220" s="1034"/>
      <c r="AM220" s="1034"/>
      <c r="AN220" s="1034"/>
      <c r="AO220" s="1034"/>
      <c r="CN220" s="753"/>
      <c r="CO220" s="753"/>
      <c r="CP220" s="753"/>
      <c r="CQ220" s="753"/>
      <c r="CR220" s="753"/>
      <c r="CS220" s="753"/>
      <c r="CT220" s="753"/>
      <c r="CU220" s="753"/>
      <c r="CV220" s="753"/>
      <c r="CW220" s="753"/>
      <c r="CX220" s="753"/>
      <c r="CY220" s="753"/>
      <c r="CZ220" s="753"/>
      <c r="DA220" s="753"/>
      <c r="DB220" s="753"/>
      <c r="DC220" s="753"/>
      <c r="DD220" s="753"/>
      <c r="DE220" s="753"/>
      <c r="DF220" s="753"/>
      <c r="DG220" s="753"/>
      <c r="DH220" s="753"/>
      <c r="DI220" s="753"/>
      <c r="DJ220" s="753"/>
      <c r="DK220" s="753"/>
      <c r="DL220" s="753"/>
      <c r="DM220" s="776"/>
    </row>
    <row r="221" spans="1:117" s="758" customFormat="1">
      <c r="A221" s="784"/>
      <c r="B221" s="774"/>
      <c r="C221" s="804"/>
      <c r="D221" s="804"/>
      <c r="E221" s="753"/>
      <c r="F221" s="753"/>
      <c r="G221" s="780"/>
      <c r="H221" s="821"/>
      <c r="I221" s="780"/>
      <c r="J221" s="1063"/>
      <c r="K221" s="1063"/>
      <c r="L221" s="1063"/>
      <c r="M221" s="1063"/>
      <c r="N221" s="1039"/>
      <c r="O221" s="1090"/>
      <c r="P221" s="1039"/>
      <c r="Q221" s="1039"/>
      <c r="R221" s="1039"/>
      <c r="S221" s="1039"/>
      <c r="T221" s="1039"/>
      <c r="U221" s="1039"/>
      <c r="V221" s="1039"/>
      <c r="W221" s="1039"/>
      <c r="X221" s="1039"/>
      <c r="Y221" s="1039"/>
      <c r="Z221" s="1039"/>
      <c r="AI221" s="1034"/>
      <c r="AJ221" s="1034"/>
      <c r="AK221" s="1034"/>
      <c r="AL221" s="1034"/>
      <c r="AM221" s="1034"/>
      <c r="AN221" s="1034"/>
      <c r="AO221" s="1034"/>
      <c r="CN221" s="753"/>
      <c r="CO221" s="753"/>
      <c r="CP221" s="753"/>
      <c r="CQ221" s="753"/>
      <c r="CR221" s="753"/>
      <c r="CS221" s="753"/>
      <c r="CT221" s="753"/>
      <c r="CU221" s="753"/>
      <c r="CV221" s="753"/>
      <c r="CW221" s="753"/>
      <c r="CX221" s="753"/>
      <c r="CY221" s="753"/>
      <c r="CZ221" s="753"/>
      <c r="DA221" s="753"/>
      <c r="DB221" s="753"/>
      <c r="DC221" s="753"/>
      <c r="DD221" s="753"/>
      <c r="DE221" s="753"/>
      <c r="DF221" s="753"/>
      <c r="DG221" s="753"/>
      <c r="DH221" s="753"/>
      <c r="DI221" s="753"/>
      <c r="DJ221" s="753"/>
      <c r="DK221" s="753"/>
      <c r="DL221" s="753"/>
      <c r="DM221" s="776"/>
    </row>
    <row r="222" spans="1:117" s="758" customFormat="1">
      <c r="A222" s="798"/>
      <c r="B222" s="774"/>
      <c r="C222" s="804"/>
      <c r="D222" s="804"/>
      <c r="E222" s="780"/>
      <c r="F222" s="780"/>
      <c r="G222" s="780"/>
      <c r="H222" s="780"/>
      <c r="I222" s="780"/>
      <c r="J222" s="1063"/>
      <c r="K222" s="1063"/>
      <c r="L222" s="1063"/>
      <c r="M222" s="1063"/>
      <c r="N222" s="1039"/>
      <c r="O222" s="1090"/>
      <c r="P222" s="1039"/>
      <c r="Q222" s="1039"/>
      <c r="R222" s="1039"/>
      <c r="S222" s="1039"/>
      <c r="T222" s="1039"/>
      <c r="U222" s="1039"/>
      <c r="V222" s="1039"/>
      <c r="W222" s="1039"/>
      <c r="X222" s="1039"/>
      <c r="Y222" s="1039"/>
      <c r="Z222" s="1039"/>
      <c r="AI222" s="1034"/>
      <c r="AJ222" s="1034"/>
      <c r="AK222" s="1034"/>
      <c r="AL222" s="1034"/>
      <c r="AM222" s="1034"/>
      <c r="AN222" s="1034"/>
      <c r="AO222" s="1034"/>
      <c r="CN222" s="753"/>
      <c r="CO222" s="753"/>
      <c r="CP222" s="753"/>
      <c r="CQ222" s="753"/>
      <c r="CR222" s="753"/>
      <c r="CS222" s="753"/>
      <c r="CT222" s="753"/>
      <c r="CU222" s="753"/>
      <c r="CV222" s="753"/>
      <c r="CW222" s="753"/>
      <c r="CX222" s="753"/>
      <c r="CY222" s="753"/>
      <c r="CZ222" s="753"/>
      <c r="DA222" s="753"/>
      <c r="DB222" s="753"/>
      <c r="DC222" s="753"/>
      <c r="DD222" s="753"/>
      <c r="DE222" s="753"/>
      <c r="DF222" s="753"/>
      <c r="DG222" s="753"/>
      <c r="DH222" s="753"/>
      <c r="DI222" s="753"/>
      <c r="DJ222" s="753"/>
      <c r="DK222" s="753"/>
      <c r="DL222" s="753"/>
      <c r="DM222" s="776"/>
    </row>
    <row r="223" spans="1:117" s="758" customFormat="1">
      <c r="A223" s="798"/>
      <c r="B223" s="774"/>
      <c r="C223" s="804"/>
      <c r="D223" s="773"/>
      <c r="E223" s="780"/>
      <c r="F223" s="780"/>
      <c r="G223" s="780"/>
      <c r="H223" s="780"/>
      <c r="I223" s="780"/>
      <c r="J223" s="1063"/>
      <c r="K223" s="1063"/>
      <c r="L223" s="1063"/>
      <c r="M223" s="1063"/>
      <c r="N223" s="1039"/>
      <c r="O223" s="1090"/>
      <c r="P223" s="1039"/>
      <c r="Q223" s="1039"/>
      <c r="R223" s="1039"/>
      <c r="S223" s="1039"/>
      <c r="T223" s="1039"/>
      <c r="U223" s="1039"/>
      <c r="V223" s="1039"/>
      <c r="W223" s="1039"/>
      <c r="X223" s="1039"/>
      <c r="Y223" s="1039"/>
      <c r="Z223" s="1039"/>
      <c r="AI223" s="1034"/>
      <c r="AJ223" s="1034"/>
      <c r="AK223" s="1034"/>
      <c r="AL223" s="1034"/>
      <c r="AM223" s="1034"/>
      <c r="AN223" s="1034"/>
      <c r="AO223" s="1034"/>
      <c r="CN223" s="753"/>
      <c r="CO223" s="753"/>
      <c r="CP223" s="753"/>
      <c r="CQ223" s="753"/>
      <c r="CR223" s="753"/>
      <c r="CS223" s="753"/>
      <c r="CT223" s="753"/>
      <c r="CU223" s="753"/>
      <c r="CV223" s="753"/>
      <c r="CW223" s="753"/>
      <c r="CX223" s="753"/>
      <c r="CY223" s="753"/>
      <c r="CZ223" s="753"/>
      <c r="DA223" s="753"/>
      <c r="DB223" s="753"/>
      <c r="DC223" s="753"/>
      <c r="DD223" s="753"/>
      <c r="DE223" s="753"/>
      <c r="DF223" s="753"/>
      <c r="DG223" s="753"/>
      <c r="DH223" s="753"/>
      <c r="DI223" s="753"/>
      <c r="DJ223" s="753"/>
      <c r="DK223" s="753"/>
      <c r="DL223" s="753"/>
      <c r="DM223" s="776"/>
    </row>
    <row r="224" spans="1:117" s="758" customFormat="1">
      <c r="A224" s="784"/>
      <c r="B224" s="773"/>
      <c r="C224" s="804"/>
      <c r="D224" s="804"/>
      <c r="E224" s="780"/>
      <c r="F224" s="780"/>
      <c r="G224" s="780"/>
      <c r="H224" s="821"/>
      <c r="I224" s="780"/>
      <c r="J224" s="1063"/>
      <c r="K224" s="1063"/>
      <c r="L224" s="1063"/>
      <c r="M224" s="1063"/>
      <c r="N224" s="1039"/>
      <c r="O224" s="1090"/>
      <c r="P224" s="1039"/>
      <c r="Q224" s="1039"/>
      <c r="R224" s="1039"/>
      <c r="S224" s="1039"/>
      <c r="T224" s="1039"/>
      <c r="U224" s="1039"/>
      <c r="V224" s="1039"/>
      <c r="W224" s="1039"/>
      <c r="X224" s="1039"/>
      <c r="Y224" s="1039"/>
      <c r="Z224" s="1039"/>
      <c r="AI224" s="1034"/>
      <c r="AJ224" s="1034"/>
      <c r="AK224" s="1034"/>
      <c r="AL224" s="1034"/>
      <c r="AM224" s="1034"/>
      <c r="AN224" s="1034"/>
      <c r="AO224" s="1034"/>
      <c r="CN224" s="753"/>
      <c r="CO224" s="753"/>
      <c r="CP224" s="753"/>
      <c r="CQ224" s="753"/>
      <c r="CR224" s="753"/>
      <c r="CS224" s="753"/>
      <c r="CT224" s="753"/>
      <c r="CU224" s="753"/>
      <c r="CV224" s="753"/>
      <c r="CW224" s="753"/>
      <c r="CX224" s="753"/>
      <c r="CY224" s="753"/>
      <c r="CZ224" s="753"/>
      <c r="DA224" s="753"/>
      <c r="DB224" s="753"/>
      <c r="DC224" s="753"/>
      <c r="DD224" s="753"/>
      <c r="DE224" s="753"/>
      <c r="DF224" s="753"/>
      <c r="DG224" s="753"/>
      <c r="DH224" s="753"/>
      <c r="DI224" s="753"/>
      <c r="DJ224" s="753"/>
      <c r="DK224" s="753"/>
      <c r="DL224" s="753"/>
      <c r="DM224" s="776"/>
    </row>
    <row r="225" spans="1:117" s="758" customFormat="1">
      <c r="A225" s="804"/>
      <c r="B225" s="768"/>
      <c r="C225" s="773"/>
      <c r="D225" s="773"/>
      <c r="E225" s="773"/>
      <c r="F225" s="780"/>
      <c r="G225" s="780"/>
      <c r="H225" s="780"/>
      <c r="I225" s="780"/>
      <c r="J225" s="1063"/>
      <c r="K225" s="1063"/>
      <c r="L225" s="1063"/>
      <c r="M225" s="1063"/>
      <c r="N225" s="1039"/>
      <c r="O225" s="1090"/>
      <c r="P225" s="1039"/>
      <c r="Q225" s="1039"/>
      <c r="R225" s="1039"/>
      <c r="S225" s="1039"/>
      <c r="T225" s="1039"/>
      <c r="U225" s="1039"/>
      <c r="V225" s="1039"/>
      <c r="W225" s="1039"/>
      <c r="X225" s="1039"/>
      <c r="Y225" s="1039"/>
      <c r="Z225" s="1039"/>
      <c r="AI225" s="1034"/>
      <c r="AJ225" s="1034"/>
      <c r="AK225" s="1034"/>
      <c r="AL225" s="1034"/>
      <c r="AM225" s="1034"/>
      <c r="AN225" s="1034"/>
      <c r="AO225" s="1034"/>
      <c r="CN225" s="753"/>
      <c r="CO225" s="753"/>
      <c r="CP225" s="753"/>
      <c r="CQ225" s="753"/>
      <c r="CR225" s="753"/>
      <c r="CS225" s="753"/>
      <c r="CT225" s="753"/>
      <c r="CU225" s="753"/>
      <c r="CV225" s="753"/>
      <c r="CW225" s="753"/>
      <c r="CX225" s="753"/>
      <c r="CY225" s="753"/>
      <c r="CZ225" s="753"/>
      <c r="DA225" s="753"/>
      <c r="DB225" s="753"/>
      <c r="DC225" s="753"/>
      <c r="DD225" s="753"/>
      <c r="DE225" s="753"/>
      <c r="DF225" s="753"/>
      <c r="DG225" s="753"/>
      <c r="DH225" s="753"/>
      <c r="DI225" s="753"/>
      <c r="DJ225" s="753"/>
      <c r="DK225" s="753"/>
      <c r="DL225" s="753"/>
      <c r="DM225" s="776"/>
    </row>
    <row r="226" spans="1:117" s="758" customFormat="1">
      <c r="A226" s="784"/>
      <c r="B226" s="768"/>
      <c r="C226" s="804"/>
      <c r="D226" s="804"/>
      <c r="E226" s="773"/>
      <c r="F226" s="780"/>
      <c r="G226" s="780"/>
      <c r="H226" s="780"/>
      <c r="I226" s="780"/>
      <c r="J226" s="1063"/>
      <c r="K226" s="1063"/>
      <c r="L226" s="1063"/>
      <c r="M226" s="1063"/>
      <c r="N226" s="1039"/>
      <c r="O226" s="1090"/>
      <c r="P226" s="1039"/>
      <c r="Q226" s="1039"/>
      <c r="R226" s="1039"/>
      <c r="S226" s="1039"/>
      <c r="T226" s="1039"/>
      <c r="U226" s="1039"/>
      <c r="V226" s="1039"/>
      <c r="W226" s="1039"/>
      <c r="X226" s="1039"/>
      <c r="Y226" s="1039"/>
      <c r="Z226" s="1039"/>
      <c r="AI226" s="1034"/>
      <c r="AJ226" s="1034"/>
      <c r="AK226" s="1034"/>
      <c r="AL226" s="1034"/>
      <c r="AM226" s="1034"/>
      <c r="AN226" s="1034"/>
      <c r="AO226" s="1034"/>
      <c r="CN226" s="753"/>
      <c r="CO226" s="753"/>
      <c r="CP226" s="753"/>
      <c r="CQ226" s="753"/>
      <c r="CR226" s="753"/>
      <c r="CS226" s="753"/>
      <c r="CT226" s="753"/>
      <c r="CU226" s="753"/>
      <c r="CV226" s="753"/>
      <c r="CW226" s="753"/>
      <c r="CX226" s="753"/>
      <c r="CY226" s="753"/>
      <c r="CZ226" s="753"/>
      <c r="DA226" s="753"/>
      <c r="DB226" s="753"/>
      <c r="DC226" s="753"/>
      <c r="DD226" s="753"/>
      <c r="DE226" s="753"/>
      <c r="DF226" s="753"/>
      <c r="DG226" s="753"/>
      <c r="DH226" s="753"/>
      <c r="DI226" s="753"/>
      <c r="DJ226" s="753"/>
      <c r="DK226" s="753"/>
      <c r="DL226" s="753"/>
      <c r="DM226" s="776"/>
    </row>
    <row r="227" spans="1:117" s="758" customFormat="1">
      <c r="A227" s="784"/>
      <c r="B227" s="768"/>
      <c r="C227" s="804"/>
      <c r="D227" s="804"/>
      <c r="E227" s="773"/>
      <c r="F227" s="780"/>
      <c r="G227" s="780"/>
      <c r="H227" s="780"/>
      <c r="I227" s="780"/>
      <c r="J227" s="1063"/>
      <c r="K227" s="1063"/>
      <c r="L227" s="1063"/>
      <c r="M227" s="1063"/>
      <c r="N227" s="1039"/>
      <c r="O227" s="1090"/>
      <c r="P227" s="1039"/>
      <c r="Q227" s="1039"/>
      <c r="R227" s="1039"/>
      <c r="S227" s="1039"/>
      <c r="T227" s="1039"/>
      <c r="U227" s="1039"/>
      <c r="V227" s="1039"/>
      <c r="W227" s="1039"/>
      <c r="X227" s="1039"/>
      <c r="Y227" s="1039"/>
      <c r="Z227" s="1039"/>
      <c r="AI227" s="1034"/>
      <c r="AJ227" s="1034"/>
      <c r="AK227" s="1034"/>
      <c r="AL227" s="1034"/>
      <c r="AM227" s="1034"/>
      <c r="AN227" s="1034"/>
      <c r="AO227" s="1034"/>
      <c r="CN227" s="753"/>
      <c r="CO227" s="753"/>
      <c r="CP227" s="753"/>
      <c r="CQ227" s="753"/>
      <c r="CR227" s="753"/>
      <c r="CS227" s="753"/>
      <c r="CT227" s="753"/>
      <c r="CU227" s="753"/>
      <c r="CV227" s="753"/>
      <c r="CW227" s="753"/>
      <c r="CX227" s="753"/>
      <c r="CY227" s="753"/>
      <c r="CZ227" s="753"/>
      <c r="DA227" s="753"/>
      <c r="DB227" s="753"/>
      <c r="DC227" s="753"/>
      <c r="DD227" s="753"/>
      <c r="DE227" s="753"/>
      <c r="DF227" s="753"/>
      <c r="DG227" s="753"/>
      <c r="DH227" s="753"/>
      <c r="DI227" s="753"/>
      <c r="DJ227" s="753"/>
      <c r="DK227" s="753"/>
      <c r="DL227" s="753"/>
      <c r="DM227" s="776"/>
    </row>
    <row r="228" spans="1:117" s="758" customFormat="1">
      <c r="A228" s="784"/>
      <c r="B228" s="768"/>
      <c r="C228" s="804"/>
      <c r="D228" s="804"/>
      <c r="E228" s="773"/>
      <c r="F228" s="773"/>
      <c r="G228" s="780"/>
      <c r="H228" s="780"/>
      <c r="I228" s="773"/>
      <c r="J228" s="1063"/>
      <c r="K228" s="1063"/>
      <c r="L228" s="1063"/>
      <c r="M228" s="1063"/>
      <c r="N228" s="1039"/>
      <c r="O228" s="1090"/>
      <c r="P228" s="1039"/>
      <c r="Q228" s="1039"/>
      <c r="R228" s="1039"/>
      <c r="S228" s="1039"/>
      <c r="T228" s="1039"/>
      <c r="U228" s="1039"/>
      <c r="V228" s="1039"/>
      <c r="W228" s="1039"/>
      <c r="X228" s="1039"/>
      <c r="Y228" s="1039"/>
      <c r="Z228" s="1039"/>
      <c r="AI228" s="1034"/>
      <c r="AJ228" s="1034"/>
      <c r="AK228" s="1034"/>
      <c r="AL228" s="1034"/>
      <c r="AM228" s="1034"/>
      <c r="AN228" s="1034"/>
      <c r="AO228" s="1034"/>
      <c r="CN228" s="753"/>
      <c r="CO228" s="753"/>
      <c r="CP228" s="753"/>
      <c r="CQ228" s="753"/>
      <c r="CR228" s="753"/>
      <c r="CS228" s="753"/>
      <c r="CT228" s="753"/>
      <c r="CU228" s="753"/>
      <c r="CV228" s="753"/>
      <c r="CW228" s="753"/>
      <c r="CX228" s="753"/>
      <c r="CY228" s="753"/>
      <c r="CZ228" s="753"/>
      <c r="DA228" s="753"/>
      <c r="DB228" s="753"/>
      <c r="DC228" s="753"/>
      <c r="DD228" s="753"/>
      <c r="DE228" s="753"/>
      <c r="DF228" s="753"/>
      <c r="DG228" s="753"/>
      <c r="DH228" s="753"/>
      <c r="DI228" s="753"/>
      <c r="DJ228" s="753"/>
      <c r="DK228" s="753"/>
      <c r="DL228" s="753"/>
      <c r="DM228" s="776"/>
    </row>
    <row r="229" spans="1:117" s="758" customFormat="1">
      <c r="A229" s="784"/>
      <c r="B229" s="768"/>
      <c r="C229" s="804"/>
      <c r="D229" s="804"/>
      <c r="E229" s="773"/>
      <c r="F229" s="773"/>
      <c r="G229" s="780"/>
      <c r="H229" s="773"/>
      <c r="I229" s="773"/>
      <c r="J229" s="1063"/>
      <c r="K229" s="1063"/>
      <c r="L229" s="1063"/>
      <c r="M229" s="1063"/>
      <c r="N229" s="1039"/>
      <c r="O229" s="1090"/>
      <c r="P229" s="1039"/>
      <c r="Q229" s="1039"/>
      <c r="R229" s="1039"/>
      <c r="S229" s="1039"/>
      <c r="T229" s="1039"/>
      <c r="U229" s="1039"/>
      <c r="V229" s="1039"/>
      <c r="W229" s="1039"/>
      <c r="X229" s="1039"/>
      <c r="Y229" s="1039"/>
      <c r="Z229" s="1039"/>
      <c r="AI229" s="1034"/>
      <c r="AJ229" s="1034"/>
      <c r="AK229" s="1034"/>
      <c r="AL229" s="1034"/>
      <c r="AM229" s="1034"/>
      <c r="AN229" s="1034"/>
      <c r="AO229" s="1034"/>
      <c r="CN229" s="753"/>
      <c r="CO229" s="753"/>
      <c r="CP229" s="753"/>
      <c r="CQ229" s="753"/>
      <c r="CR229" s="753"/>
      <c r="CS229" s="753"/>
      <c r="CT229" s="753"/>
      <c r="CU229" s="753"/>
      <c r="CV229" s="753"/>
      <c r="CW229" s="753"/>
      <c r="CX229" s="753"/>
      <c r="CY229" s="753"/>
      <c r="CZ229" s="753"/>
      <c r="DA229" s="753"/>
      <c r="DB229" s="753"/>
      <c r="DC229" s="753"/>
      <c r="DD229" s="753"/>
      <c r="DE229" s="753"/>
      <c r="DF229" s="753"/>
      <c r="DG229" s="753"/>
      <c r="DH229" s="753"/>
      <c r="DI229" s="753"/>
      <c r="DJ229" s="753"/>
      <c r="DK229" s="753"/>
      <c r="DL229" s="753"/>
      <c r="DM229" s="776"/>
    </row>
    <row r="230" spans="1:117" s="758" customFormat="1">
      <c r="A230" s="822"/>
      <c r="B230" s="768"/>
      <c r="C230" s="773"/>
      <c r="D230" s="805"/>
      <c r="E230" s="773"/>
      <c r="F230" s="773"/>
      <c r="G230" s="780"/>
      <c r="H230" s="773"/>
      <c r="I230" s="780"/>
      <c r="J230" s="1063"/>
      <c r="K230" s="1063"/>
      <c r="L230" s="1063"/>
      <c r="M230" s="1063"/>
      <c r="N230" s="1039"/>
      <c r="O230" s="1090"/>
      <c r="P230" s="1039"/>
      <c r="Q230" s="1039"/>
      <c r="R230" s="1039"/>
      <c r="S230" s="1039"/>
      <c r="T230" s="1039"/>
      <c r="U230" s="1039"/>
      <c r="V230" s="1039"/>
      <c r="W230" s="1039"/>
      <c r="X230" s="1039"/>
      <c r="Y230" s="1039"/>
      <c r="Z230" s="1039"/>
      <c r="AI230" s="1034"/>
      <c r="AJ230" s="1034"/>
      <c r="AK230" s="1034"/>
      <c r="AL230" s="1034"/>
      <c r="AM230" s="1034"/>
      <c r="AN230" s="1034"/>
      <c r="AO230" s="1034"/>
      <c r="CN230" s="753"/>
      <c r="CO230" s="753"/>
      <c r="CP230" s="753"/>
      <c r="CQ230" s="753"/>
      <c r="CR230" s="753"/>
      <c r="CS230" s="753"/>
      <c r="CT230" s="753"/>
      <c r="CU230" s="753"/>
      <c r="CV230" s="753"/>
      <c r="CW230" s="753"/>
      <c r="CX230" s="753"/>
      <c r="CY230" s="753"/>
      <c r="CZ230" s="753"/>
      <c r="DA230" s="753"/>
      <c r="DB230" s="753"/>
      <c r="DC230" s="753"/>
      <c r="DD230" s="753"/>
      <c r="DE230" s="753"/>
      <c r="DF230" s="753"/>
      <c r="DG230" s="753"/>
      <c r="DH230" s="753"/>
      <c r="DI230" s="753"/>
      <c r="DJ230" s="753"/>
      <c r="DK230" s="753"/>
      <c r="DL230" s="753"/>
      <c r="DM230" s="776"/>
    </row>
    <row r="231" spans="1:117" s="758" customFormat="1">
      <c r="A231" s="784"/>
      <c r="B231" s="768"/>
      <c r="C231" s="804"/>
      <c r="D231" s="804"/>
      <c r="E231" s="773"/>
      <c r="F231" s="773"/>
      <c r="G231" s="780"/>
      <c r="H231" s="780"/>
      <c r="I231" s="780"/>
      <c r="J231" s="1063"/>
      <c r="K231" s="1063"/>
      <c r="L231" s="1063"/>
      <c r="M231" s="1063"/>
      <c r="N231" s="1039"/>
      <c r="O231" s="1090"/>
      <c r="P231" s="1039"/>
      <c r="Q231" s="1039"/>
      <c r="R231" s="1039"/>
      <c r="S231" s="1039"/>
      <c r="T231" s="1039"/>
      <c r="U231" s="1039"/>
      <c r="V231" s="1039"/>
      <c r="W231" s="1039"/>
      <c r="X231" s="1039"/>
      <c r="Y231" s="1039"/>
      <c r="Z231" s="1039"/>
      <c r="AI231" s="1034"/>
      <c r="AJ231" s="1034"/>
      <c r="AK231" s="1034"/>
      <c r="AL231" s="1034"/>
      <c r="AM231" s="1034"/>
      <c r="AN231" s="1034"/>
      <c r="AO231" s="1034"/>
      <c r="CN231" s="753"/>
      <c r="CO231" s="753"/>
      <c r="CP231" s="753"/>
      <c r="CQ231" s="753"/>
      <c r="CR231" s="753"/>
      <c r="CS231" s="753"/>
      <c r="CT231" s="753"/>
      <c r="CU231" s="753"/>
      <c r="CV231" s="753"/>
      <c r="CW231" s="753"/>
      <c r="CX231" s="753"/>
      <c r="CY231" s="753"/>
      <c r="CZ231" s="753"/>
      <c r="DA231" s="753"/>
      <c r="DB231" s="753"/>
      <c r="DC231" s="753"/>
      <c r="DD231" s="753"/>
      <c r="DE231" s="753"/>
      <c r="DF231" s="753"/>
      <c r="DG231" s="753"/>
      <c r="DH231" s="753"/>
      <c r="DI231" s="753"/>
      <c r="DJ231" s="753"/>
      <c r="DK231" s="753"/>
      <c r="DL231" s="753"/>
      <c r="DM231" s="776"/>
    </row>
    <row r="232" spans="1:117" s="758" customFormat="1">
      <c r="A232" s="822"/>
      <c r="B232" s="819"/>
      <c r="C232" s="773"/>
      <c r="D232" s="805"/>
      <c r="E232" s="773"/>
      <c r="F232" s="773"/>
      <c r="G232" s="780"/>
      <c r="H232" s="773"/>
      <c r="I232" s="773"/>
      <c r="J232" s="1063"/>
      <c r="K232" s="1063"/>
      <c r="L232" s="1063"/>
      <c r="M232" s="1063"/>
      <c r="N232" s="1039"/>
      <c r="O232" s="1090"/>
      <c r="P232" s="1039"/>
      <c r="Q232" s="1039"/>
      <c r="R232" s="1039"/>
      <c r="S232" s="1039"/>
      <c r="T232" s="1039"/>
      <c r="U232" s="1039"/>
      <c r="V232" s="1039"/>
      <c r="W232" s="1039"/>
      <c r="X232" s="1039"/>
      <c r="Y232" s="1039"/>
      <c r="Z232" s="1039"/>
      <c r="AI232" s="1034"/>
      <c r="AJ232" s="1034"/>
      <c r="AK232" s="1034"/>
      <c r="AL232" s="1034"/>
      <c r="AM232" s="1034"/>
      <c r="AN232" s="1034"/>
      <c r="AO232" s="1034"/>
      <c r="CN232" s="753"/>
      <c r="CO232" s="753"/>
      <c r="CP232" s="753"/>
      <c r="CQ232" s="753"/>
      <c r="CR232" s="753"/>
      <c r="CS232" s="753"/>
      <c r="CT232" s="753"/>
      <c r="CU232" s="753"/>
      <c r="CV232" s="753"/>
      <c r="CW232" s="753"/>
      <c r="CX232" s="753"/>
      <c r="CY232" s="753"/>
      <c r="CZ232" s="753"/>
      <c r="DA232" s="753"/>
      <c r="DB232" s="753"/>
      <c r="DC232" s="753"/>
      <c r="DD232" s="753"/>
      <c r="DE232" s="753"/>
      <c r="DF232" s="753"/>
      <c r="DG232" s="753"/>
      <c r="DH232" s="753"/>
      <c r="DI232" s="753"/>
      <c r="DJ232" s="753"/>
      <c r="DK232" s="753"/>
      <c r="DL232" s="753"/>
      <c r="DM232" s="776"/>
    </row>
    <row r="233" spans="1:117" s="758" customFormat="1">
      <c r="A233" s="822"/>
      <c r="B233" s="768"/>
      <c r="C233" s="773"/>
      <c r="D233" s="805"/>
      <c r="E233" s="773"/>
      <c r="F233" s="773"/>
      <c r="G233" s="773"/>
      <c r="H233" s="773"/>
      <c r="I233" s="773"/>
      <c r="J233" s="1063"/>
      <c r="K233" s="1063"/>
      <c r="L233" s="1063"/>
      <c r="M233" s="1063"/>
      <c r="N233" s="1039"/>
      <c r="O233" s="1090"/>
      <c r="P233" s="1039"/>
      <c r="Q233" s="1039"/>
      <c r="R233" s="1039"/>
      <c r="S233" s="1039"/>
      <c r="T233" s="1039"/>
      <c r="U233" s="1039"/>
      <c r="V233" s="1039"/>
      <c r="W233" s="1039"/>
      <c r="X233" s="1039"/>
      <c r="Y233" s="1039"/>
      <c r="Z233" s="1039"/>
      <c r="AI233" s="1034"/>
      <c r="AJ233" s="1034"/>
      <c r="AK233" s="1034"/>
      <c r="AL233" s="1034"/>
      <c r="AM233" s="1034"/>
      <c r="AN233" s="1034"/>
      <c r="AO233" s="1034"/>
      <c r="CN233" s="753"/>
      <c r="CO233" s="753"/>
      <c r="CP233" s="753"/>
      <c r="CQ233" s="753"/>
      <c r="CR233" s="753"/>
      <c r="CS233" s="753"/>
      <c r="CT233" s="753"/>
      <c r="CU233" s="753"/>
      <c r="CV233" s="753"/>
      <c r="CW233" s="753"/>
      <c r="CX233" s="753"/>
      <c r="CY233" s="753"/>
      <c r="CZ233" s="753"/>
      <c r="DA233" s="753"/>
      <c r="DB233" s="753"/>
      <c r="DC233" s="753"/>
      <c r="DD233" s="753"/>
      <c r="DE233" s="753"/>
      <c r="DF233" s="753"/>
      <c r="DG233" s="753"/>
      <c r="DH233" s="753"/>
      <c r="DI233" s="753"/>
      <c r="DJ233" s="753"/>
      <c r="DK233" s="753"/>
      <c r="DL233" s="753"/>
      <c r="DM233" s="776"/>
    </row>
    <row r="234" spans="1:117" s="758" customFormat="1">
      <c r="A234" s="822"/>
      <c r="B234" s="819"/>
      <c r="C234" s="773"/>
      <c r="D234" s="804"/>
      <c r="E234" s="773"/>
      <c r="F234" s="773"/>
      <c r="G234" s="773"/>
      <c r="H234" s="773"/>
      <c r="I234" s="773"/>
      <c r="J234" s="1063"/>
      <c r="K234" s="1063"/>
      <c r="L234" s="1063"/>
      <c r="M234" s="1063"/>
      <c r="N234" s="1039"/>
      <c r="O234" s="1090"/>
      <c r="P234" s="1039"/>
      <c r="Q234" s="1039"/>
      <c r="R234" s="1039"/>
      <c r="S234" s="1039"/>
      <c r="T234" s="1039"/>
      <c r="U234" s="1039"/>
      <c r="V234" s="1039"/>
      <c r="W234" s="1039"/>
      <c r="X234" s="1039"/>
      <c r="Y234" s="1039"/>
      <c r="Z234" s="1039"/>
      <c r="AI234" s="1034"/>
      <c r="AJ234" s="1034"/>
      <c r="AK234" s="1034"/>
      <c r="AL234" s="1034"/>
      <c r="AM234" s="1034"/>
      <c r="AN234" s="1034"/>
      <c r="AO234" s="1034"/>
      <c r="CN234" s="753"/>
      <c r="CO234" s="753"/>
      <c r="CP234" s="753"/>
      <c r="CQ234" s="753"/>
      <c r="CR234" s="753"/>
      <c r="CS234" s="753"/>
      <c r="CT234" s="753"/>
      <c r="CU234" s="753"/>
      <c r="CV234" s="753"/>
      <c r="CW234" s="753"/>
      <c r="CX234" s="753"/>
      <c r="CY234" s="753"/>
      <c r="CZ234" s="753"/>
      <c r="DA234" s="753"/>
      <c r="DB234" s="753"/>
      <c r="DC234" s="753"/>
      <c r="DD234" s="753"/>
      <c r="DE234" s="753"/>
      <c r="DF234" s="753"/>
      <c r="DG234" s="753"/>
      <c r="DH234" s="753"/>
      <c r="DI234" s="753"/>
      <c r="DJ234" s="753"/>
      <c r="DK234" s="753"/>
      <c r="DL234" s="753"/>
      <c r="DM234" s="776"/>
    </row>
    <row r="235" spans="1:117" s="758" customFormat="1">
      <c r="A235" s="784"/>
      <c r="B235" s="819"/>
      <c r="C235" s="804"/>
      <c r="D235" s="804"/>
      <c r="E235" s="773"/>
      <c r="F235" s="773"/>
      <c r="G235" s="773"/>
      <c r="H235" s="821"/>
      <c r="I235" s="773"/>
      <c r="J235" s="1063"/>
      <c r="K235" s="1063"/>
      <c r="L235" s="1063"/>
      <c r="M235" s="1063"/>
      <c r="N235" s="1039"/>
      <c r="O235" s="1090"/>
      <c r="P235" s="1039"/>
      <c r="Q235" s="1039"/>
      <c r="R235" s="1039"/>
      <c r="S235" s="1039"/>
      <c r="T235" s="1039"/>
      <c r="U235" s="1039"/>
      <c r="V235" s="1039"/>
      <c r="W235" s="1039"/>
      <c r="X235" s="1039"/>
      <c r="Y235" s="1039"/>
      <c r="Z235" s="1039"/>
      <c r="AI235" s="1034"/>
      <c r="AJ235" s="1034"/>
      <c r="AK235" s="1034"/>
      <c r="AL235" s="1034"/>
      <c r="AM235" s="1034"/>
      <c r="AN235" s="1034"/>
      <c r="AO235" s="1034"/>
      <c r="CN235" s="753"/>
      <c r="CO235" s="753"/>
      <c r="CP235" s="753"/>
      <c r="CQ235" s="753"/>
      <c r="CR235" s="753"/>
      <c r="CS235" s="753"/>
      <c r="CT235" s="753"/>
      <c r="CU235" s="753"/>
      <c r="CV235" s="753"/>
      <c r="CW235" s="753"/>
      <c r="CX235" s="753"/>
      <c r="CY235" s="753"/>
      <c r="CZ235" s="753"/>
      <c r="DA235" s="753"/>
      <c r="DB235" s="753"/>
      <c r="DC235" s="753"/>
      <c r="DD235" s="753"/>
      <c r="DE235" s="753"/>
      <c r="DF235" s="753"/>
      <c r="DG235" s="753"/>
      <c r="DH235" s="753"/>
      <c r="DI235" s="753"/>
      <c r="DJ235" s="753"/>
      <c r="DK235" s="753"/>
      <c r="DL235" s="753"/>
      <c r="DM235" s="776"/>
    </row>
    <row r="236" spans="1:117" s="758" customFormat="1">
      <c r="A236" s="784"/>
      <c r="B236" s="768"/>
      <c r="C236" s="804"/>
      <c r="D236" s="773"/>
      <c r="E236" s="773"/>
      <c r="F236" s="773"/>
      <c r="G236" s="773"/>
      <c r="H236" s="773"/>
      <c r="I236" s="773"/>
      <c r="J236" s="1039"/>
      <c r="K236" s="1039"/>
      <c r="L236" s="1039"/>
      <c r="M236" s="1039"/>
      <c r="N236" s="1039"/>
      <c r="O236" s="1090"/>
      <c r="P236" s="1039"/>
      <c r="Q236" s="1039"/>
      <c r="R236" s="1039"/>
      <c r="S236" s="1039"/>
      <c r="T236" s="1039"/>
      <c r="U236" s="1039"/>
      <c r="V236" s="1039"/>
      <c r="W236" s="1039"/>
      <c r="X236" s="1039"/>
      <c r="Y236" s="1039"/>
      <c r="Z236" s="1039"/>
      <c r="AI236" s="1034"/>
      <c r="AJ236" s="1034"/>
      <c r="AK236" s="1034"/>
      <c r="AL236" s="1034"/>
      <c r="AM236" s="1034"/>
      <c r="AN236" s="1034"/>
      <c r="AO236" s="1034"/>
      <c r="CN236" s="753"/>
      <c r="CO236" s="753"/>
      <c r="CP236" s="753"/>
      <c r="CQ236" s="753"/>
      <c r="CR236" s="753"/>
      <c r="CS236" s="753"/>
      <c r="CT236" s="753"/>
      <c r="CU236" s="753"/>
      <c r="CV236" s="753"/>
      <c r="CW236" s="753"/>
      <c r="CX236" s="753"/>
      <c r="CY236" s="753"/>
      <c r="CZ236" s="753"/>
      <c r="DA236" s="753"/>
      <c r="DB236" s="753"/>
      <c r="DC236" s="753"/>
      <c r="DD236" s="753"/>
      <c r="DE236" s="753"/>
      <c r="DF236" s="753"/>
      <c r="DG236" s="753"/>
      <c r="DH236" s="753"/>
      <c r="DI236" s="753"/>
      <c r="DJ236" s="753"/>
      <c r="DK236" s="753"/>
      <c r="DL236" s="753"/>
      <c r="DM236" s="776"/>
    </row>
    <row r="237" spans="1:117" s="758" customFormat="1">
      <c r="A237" s="822"/>
      <c r="B237" s="774"/>
      <c r="C237" s="773"/>
      <c r="D237" s="823"/>
      <c r="E237" s="773"/>
      <c r="F237" s="773"/>
      <c r="G237" s="773"/>
      <c r="H237" s="773"/>
      <c r="I237" s="773"/>
      <c r="J237" s="1039"/>
      <c r="K237" s="1039"/>
      <c r="L237" s="1039"/>
      <c r="M237" s="1039"/>
      <c r="N237" s="1039"/>
      <c r="O237" s="1090"/>
      <c r="P237" s="1039"/>
      <c r="Q237" s="1039"/>
      <c r="R237" s="1039"/>
      <c r="S237" s="1039"/>
      <c r="T237" s="1039"/>
      <c r="U237" s="1039"/>
      <c r="V237" s="1039"/>
      <c r="W237" s="1039"/>
      <c r="X237" s="1039"/>
      <c r="Y237" s="1039"/>
      <c r="Z237" s="1039"/>
      <c r="AI237" s="1034"/>
      <c r="AJ237" s="1034"/>
      <c r="AK237" s="1034"/>
      <c r="AL237" s="1034"/>
      <c r="AM237" s="1034"/>
      <c r="AN237" s="1034"/>
      <c r="AO237" s="1034"/>
      <c r="CN237" s="753"/>
      <c r="CO237" s="753"/>
      <c r="CP237" s="753"/>
      <c r="CQ237" s="753"/>
      <c r="CR237" s="753"/>
      <c r="CS237" s="753"/>
      <c r="CT237" s="753"/>
      <c r="CU237" s="753"/>
      <c r="CV237" s="753"/>
      <c r="CW237" s="753"/>
      <c r="CX237" s="753"/>
      <c r="CY237" s="753"/>
      <c r="CZ237" s="753"/>
      <c r="DA237" s="753"/>
      <c r="DB237" s="753"/>
      <c r="DC237" s="753"/>
      <c r="DD237" s="753"/>
      <c r="DE237" s="753"/>
      <c r="DF237" s="753"/>
      <c r="DG237" s="753"/>
      <c r="DH237" s="753"/>
      <c r="DI237" s="753"/>
      <c r="DJ237" s="753"/>
      <c r="DK237" s="753"/>
      <c r="DL237" s="753"/>
      <c r="DM237" s="776"/>
    </row>
    <row r="238" spans="1:117" s="758" customFormat="1">
      <c r="A238" s="784"/>
      <c r="B238" s="773"/>
      <c r="C238" s="804"/>
      <c r="D238" s="773"/>
      <c r="E238" s="773"/>
      <c r="F238" s="773"/>
      <c r="G238" s="773"/>
      <c r="H238" s="773"/>
      <c r="I238" s="773"/>
      <c r="J238" s="1039"/>
      <c r="K238" s="1039"/>
      <c r="L238" s="1039"/>
      <c r="M238" s="1039"/>
      <c r="N238" s="1039"/>
      <c r="O238" s="1090"/>
      <c r="P238" s="1039"/>
      <c r="Q238" s="1039"/>
      <c r="R238" s="1039"/>
      <c r="S238" s="1039"/>
      <c r="T238" s="1039"/>
      <c r="U238" s="1039"/>
      <c r="V238" s="1039"/>
      <c r="W238" s="1039"/>
      <c r="X238" s="1039"/>
      <c r="Y238" s="1039"/>
      <c r="Z238" s="1039"/>
      <c r="AI238" s="1034"/>
      <c r="AJ238" s="1034"/>
      <c r="AK238" s="1034"/>
      <c r="AL238" s="1034"/>
      <c r="AM238" s="1034"/>
      <c r="AN238" s="1034"/>
      <c r="AO238" s="1034"/>
      <c r="CN238" s="753"/>
      <c r="CO238" s="753"/>
      <c r="CP238" s="753"/>
      <c r="CQ238" s="753"/>
      <c r="CR238" s="753"/>
      <c r="CS238" s="753"/>
      <c r="CT238" s="753"/>
      <c r="CU238" s="753"/>
      <c r="CV238" s="753"/>
      <c r="CW238" s="753"/>
      <c r="CX238" s="753"/>
      <c r="CY238" s="753"/>
      <c r="CZ238" s="753"/>
      <c r="DA238" s="753"/>
      <c r="DB238" s="753"/>
      <c r="DC238" s="753"/>
      <c r="DD238" s="753"/>
      <c r="DE238" s="753"/>
      <c r="DF238" s="753"/>
      <c r="DG238" s="753"/>
      <c r="DH238" s="753"/>
      <c r="DI238" s="753"/>
      <c r="DJ238" s="753"/>
      <c r="DK238" s="753"/>
      <c r="DL238" s="753"/>
      <c r="DM238" s="776"/>
    </row>
    <row r="239" spans="1:117" s="758" customFormat="1">
      <c r="A239" s="773"/>
      <c r="B239" s="773"/>
      <c r="C239" s="773"/>
      <c r="D239" s="773"/>
      <c r="E239" s="773"/>
      <c r="F239" s="773"/>
      <c r="G239" s="773"/>
      <c r="H239" s="821"/>
      <c r="I239" s="773"/>
      <c r="J239" s="1039"/>
      <c r="K239" s="1039"/>
      <c r="L239" s="1039"/>
      <c r="M239" s="1039"/>
      <c r="N239" s="1039"/>
      <c r="O239" s="1090"/>
      <c r="P239" s="1039"/>
      <c r="Q239" s="1039"/>
      <c r="R239" s="1039"/>
      <c r="S239" s="1039"/>
      <c r="T239" s="1039"/>
      <c r="U239" s="1039"/>
      <c r="V239" s="1039"/>
      <c r="W239" s="1039"/>
      <c r="X239" s="1039"/>
      <c r="Y239" s="1039"/>
      <c r="Z239" s="1039"/>
      <c r="AI239" s="1034"/>
      <c r="AJ239" s="1034"/>
      <c r="AK239" s="1034"/>
      <c r="AL239" s="1034"/>
      <c r="AM239" s="1034"/>
      <c r="AN239" s="1034"/>
      <c r="AO239" s="1034"/>
      <c r="CN239" s="753"/>
      <c r="CO239" s="753"/>
      <c r="CP239" s="753"/>
      <c r="CQ239" s="753"/>
      <c r="CR239" s="753"/>
      <c r="CS239" s="753"/>
      <c r="CT239" s="753"/>
      <c r="CU239" s="753"/>
      <c r="CV239" s="753"/>
      <c r="CW239" s="753"/>
      <c r="CX239" s="753"/>
      <c r="CY239" s="753"/>
      <c r="CZ239" s="753"/>
      <c r="DA239" s="753"/>
      <c r="DB239" s="753"/>
      <c r="DC239" s="753"/>
      <c r="DD239" s="753"/>
      <c r="DE239" s="753"/>
      <c r="DF239" s="753"/>
      <c r="DG239" s="753"/>
      <c r="DH239" s="753"/>
      <c r="DI239" s="753"/>
      <c r="DJ239" s="753"/>
      <c r="DK239" s="753"/>
      <c r="DL239" s="753"/>
      <c r="DM239" s="776"/>
    </row>
    <row r="240" spans="1:117" s="758" customFormat="1">
      <c r="A240" s="804"/>
      <c r="B240" s="774"/>
      <c r="C240" s="773"/>
      <c r="D240" s="780"/>
      <c r="E240" s="780"/>
      <c r="F240" s="780"/>
      <c r="G240" s="780"/>
      <c r="H240" s="773"/>
      <c r="I240" s="773"/>
      <c r="J240" s="1039"/>
      <c r="K240" s="1039"/>
      <c r="L240" s="1039"/>
      <c r="M240" s="1039"/>
      <c r="N240" s="1039"/>
      <c r="O240" s="1090"/>
      <c r="P240" s="1039"/>
      <c r="Q240" s="1039"/>
      <c r="R240" s="1039"/>
      <c r="S240" s="1039"/>
      <c r="T240" s="1039"/>
      <c r="U240" s="1039"/>
      <c r="V240" s="1039"/>
      <c r="W240" s="1039"/>
      <c r="X240" s="1039"/>
      <c r="Y240" s="1039"/>
      <c r="Z240" s="1039"/>
      <c r="AI240" s="1034"/>
      <c r="AJ240" s="1034"/>
      <c r="AK240" s="1034"/>
      <c r="AL240" s="1034"/>
      <c r="AM240" s="1034"/>
      <c r="AN240" s="1034"/>
      <c r="AO240" s="1034"/>
      <c r="CN240" s="753"/>
      <c r="CO240" s="753"/>
      <c r="CP240" s="753"/>
      <c r="CQ240" s="753"/>
      <c r="CR240" s="753"/>
      <c r="CS240" s="753"/>
      <c r="CT240" s="753"/>
      <c r="CU240" s="753"/>
      <c r="CV240" s="753"/>
      <c r="CW240" s="753"/>
      <c r="CX240" s="753"/>
      <c r="CY240" s="753"/>
      <c r="CZ240" s="753"/>
      <c r="DA240" s="753"/>
      <c r="DB240" s="753"/>
      <c r="DC240" s="753"/>
      <c r="DD240" s="753"/>
      <c r="DE240" s="753"/>
      <c r="DF240" s="753"/>
      <c r="DG240" s="753"/>
      <c r="DH240" s="753"/>
      <c r="DI240" s="753"/>
      <c r="DJ240" s="753"/>
      <c r="DK240" s="753"/>
      <c r="DL240" s="753"/>
      <c r="DM240" s="776"/>
    </row>
    <row r="241" spans="1:117" s="758" customFormat="1">
      <c r="A241" s="784"/>
      <c r="B241" s="774"/>
      <c r="C241" s="804"/>
      <c r="D241" s="804"/>
      <c r="E241" s="780"/>
      <c r="F241" s="780"/>
      <c r="G241" s="780"/>
      <c r="H241" s="773"/>
      <c r="I241" s="780"/>
      <c r="J241" s="1039"/>
      <c r="K241" s="1039"/>
      <c r="L241" s="1039"/>
      <c r="M241" s="1039"/>
      <c r="N241" s="1039"/>
      <c r="O241" s="1090"/>
      <c r="P241" s="1039"/>
      <c r="Q241" s="1039"/>
      <c r="R241" s="1039"/>
      <c r="S241" s="1039"/>
      <c r="T241" s="1039"/>
      <c r="U241" s="1039"/>
      <c r="V241" s="1039"/>
      <c r="W241" s="1039"/>
      <c r="X241" s="1039"/>
      <c r="Y241" s="1039"/>
      <c r="Z241" s="1039"/>
      <c r="AI241" s="1034"/>
      <c r="AJ241" s="1034"/>
      <c r="AK241" s="1034"/>
      <c r="AL241" s="1034"/>
      <c r="AM241" s="1034"/>
      <c r="AN241" s="1034"/>
      <c r="AO241" s="1034"/>
      <c r="CN241" s="753"/>
      <c r="CO241" s="753"/>
      <c r="CP241" s="753"/>
      <c r="CQ241" s="753"/>
      <c r="CR241" s="753"/>
      <c r="CS241" s="753"/>
      <c r="CT241" s="753"/>
      <c r="CU241" s="753"/>
      <c r="CV241" s="753"/>
      <c r="CW241" s="753"/>
      <c r="CX241" s="753"/>
      <c r="CY241" s="753"/>
      <c r="CZ241" s="753"/>
      <c r="DA241" s="753"/>
      <c r="DB241" s="753"/>
      <c r="DC241" s="753"/>
      <c r="DD241" s="753"/>
      <c r="DE241" s="753"/>
      <c r="DF241" s="753"/>
      <c r="DG241" s="753"/>
      <c r="DH241" s="753"/>
      <c r="DI241" s="753"/>
      <c r="DJ241" s="753"/>
      <c r="DK241" s="753"/>
      <c r="DL241" s="753"/>
      <c r="DM241" s="776"/>
    </row>
    <row r="242" spans="1:117" s="758" customFormat="1">
      <c r="A242" s="784"/>
      <c r="B242" s="774"/>
      <c r="C242" s="804"/>
      <c r="D242" s="804"/>
      <c r="E242" s="780"/>
      <c r="F242" s="780"/>
      <c r="G242" s="780"/>
      <c r="H242" s="780"/>
      <c r="I242" s="780"/>
      <c r="J242" s="1039"/>
      <c r="K242" s="1039"/>
      <c r="L242" s="1039"/>
      <c r="M242" s="1039"/>
      <c r="N242" s="1039"/>
      <c r="O242" s="1090"/>
      <c r="P242" s="1039"/>
      <c r="Q242" s="1039"/>
      <c r="R242" s="1039"/>
      <c r="S242" s="1039"/>
      <c r="T242" s="1039"/>
      <c r="U242" s="1039"/>
      <c r="V242" s="1039"/>
      <c r="W242" s="1039"/>
      <c r="X242" s="1039"/>
      <c r="Y242" s="1039"/>
      <c r="Z242" s="1039"/>
      <c r="AI242" s="1034"/>
      <c r="AJ242" s="1034"/>
      <c r="AK242" s="1034"/>
      <c r="AL242" s="1034"/>
      <c r="AM242" s="1034"/>
      <c r="AN242" s="1034"/>
      <c r="AO242" s="1034"/>
      <c r="CN242" s="753"/>
      <c r="CO242" s="753"/>
      <c r="CP242" s="753"/>
      <c r="CQ242" s="753"/>
      <c r="CR242" s="753"/>
      <c r="CS242" s="753"/>
      <c r="CT242" s="753"/>
      <c r="CU242" s="753"/>
      <c r="CV242" s="753"/>
      <c r="CW242" s="753"/>
      <c r="CX242" s="753"/>
      <c r="CY242" s="753"/>
      <c r="CZ242" s="753"/>
      <c r="DA242" s="753"/>
      <c r="DB242" s="753"/>
      <c r="DC242" s="753"/>
      <c r="DD242" s="753"/>
      <c r="DE242" s="753"/>
      <c r="DF242" s="753"/>
      <c r="DG242" s="753"/>
      <c r="DH242" s="753"/>
      <c r="DI242" s="753"/>
      <c r="DJ242" s="753"/>
      <c r="DK242" s="753"/>
      <c r="DL242" s="753"/>
      <c r="DM242" s="776"/>
    </row>
    <row r="243" spans="1:117" s="758" customFormat="1">
      <c r="A243" s="784"/>
      <c r="B243" s="774"/>
      <c r="C243" s="804"/>
      <c r="D243" s="804"/>
      <c r="E243" s="780"/>
      <c r="F243" s="780"/>
      <c r="G243" s="780"/>
      <c r="H243" s="780"/>
      <c r="I243" s="780"/>
      <c r="J243" s="1039"/>
      <c r="K243" s="1039"/>
      <c r="L243" s="1039"/>
      <c r="M243" s="1039"/>
      <c r="N243" s="1039"/>
      <c r="O243" s="1090"/>
      <c r="P243" s="1039"/>
      <c r="Q243" s="1039"/>
      <c r="R243" s="1039"/>
      <c r="S243" s="1039"/>
      <c r="T243" s="1039"/>
      <c r="U243" s="1039"/>
      <c r="V243" s="1039"/>
      <c r="W243" s="1039"/>
      <c r="X243" s="1039"/>
      <c r="Y243" s="1039"/>
      <c r="Z243" s="1039"/>
      <c r="AI243" s="1034"/>
      <c r="AJ243" s="1034"/>
      <c r="AK243" s="1034"/>
      <c r="AL243" s="1034"/>
      <c r="AM243" s="1034"/>
      <c r="AN243" s="1034"/>
      <c r="AO243" s="1034"/>
      <c r="CN243" s="753"/>
      <c r="CO243" s="753"/>
      <c r="CP243" s="753"/>
      <c r="CQ243" s="753"/>
      <c r="CR243" s="753"/>
      <c r="CS243" s="753"/>
      <c r="CT243" s="753"/>
      <c r="CU243" s="753"/>
      <c r="CV243" s="753"/>
      <c r="CW243" s="753"/>
      <c r="CX243" s="753"/>
      <c r="CY243" s="753"/>
      <c r="CZ243" s="753"/>
      <c r="DA243" s="753"/>
      <c r="DB243" s="753"/>
      <c r="DC243" s="753"/>
      <c r="DD243" s="753"/>
      <c r="DE243" s="753"/>
      <c r="DF243" s="753"/>
      <c r="DG243" s="753"/>
      <c r="DH243" s="753"/>
      <c r="DI243" s="753"/>
      <c r="DJ243" s="753"/>
      <c r="DK243" s="753"/>
      <c r="DL243" s="753"/>
      <c r="DM243" s="776"/>
    </row>
    <row r="244" spans="1:117" s="758" customFormat="1">
      <c r="A244" s="784"/>
      <c r="B244" s="773"/>
      <c r="C244" s="804"/>
      <c r="D244" s="804"/>
      <c r="E244" s="773"/>
      <c r="F244" s="773"/>
      <c r="G244" s="780"/>
      <c r="H244" s="780"/>
      <c r="I244" s="780"/>
      <c r="J244" s="1039"/>
      <c r="K244" s="1039"/>
      <c r="L244" s="1039"/>
      <c r="M244" s="1039"/>
      <c r="N244" s="1039"/>
      <c r="O244" s="1090"/>
      <c r="P244" s="1039"/>
      <c r="Q244" s="1039"/>
      <c r="R244" s="1039"/>
      <c r="S244" s="1039"/>
      <c r="T244" s="1039"/>
      <c r="U244" s="1039"/>
      <c r="V244" s="1039"/>
      <c r="W244" s="1039"/>
      <c r="X244" s="1039"/>
      <c r="Y244" s="1039"/>
      <c r="Z244" s="1039"/>
      <c r="AI244" s="1034"/>
      <c r="AJ244" s="1034"/>
      <c r="AK244" s="1034"/>
      <c r="AL244" s="1034"/>
      <c r="AM244" s="1034"/>
      <c r="AN244" s="1034"/>
      <c r="AO244" s="1034"/>
      <c r="CN244" s="753"/>
      <c r="CO244" s="753"/>
      <c r="CP244" s="753"/>
      <c r="CQ244" s="753"/>
      <c r="CR244" s="753"/>
      <c r="CS244" s="753"/>
      <c r="CT244" s="753"/>
      <c r="CU244" s="753"/>
      <c r="CV244" s="753"/>
      <c r="CW244" s="753"/>
      <c r="CX244" s="753"/>
      <c r="CY244" s="753"/>
      <c r="CZ244" s="753"/>
      <c r="DA244" s="753"/>
      <c r="DB244" s="753"/>
      <c r="DC244" s="753"/>
      <c r="DD244" s="753"/>
      <c r="DE244" s="753"/>
      <c r="DF244" s="753"/>
      <c r="DG244" s="753"/>
      <c r="DH244" s="753"/>
      <c r="DI244" s="753"/>
      <c r="DJ244" s="753"/>
      <c r="DK244" s="753"/>
      <c r="DL244" s="753"/>
      <c r="DM244" s="776"/>
    </row>
    <row r="245" spans="1:117" s="758" customFormat="1">
      <c r="A245" s="804"/>
      <c r="B245" s="819"/>
      <c r="C245" s="773"/>
      <c r="D245" s="773"/>
      <c r="E245" s="773"/>
      <c r="F245" s="773"/>
      <c r="G245" s="780"/>
      <c r="H245" s="821"/>
      <c r="I245" s="780"/>
      <c r="J245" s="1039"/>
      <c r="K245" s="1039"/>
      <c r="L245" s="1039"/>
      <c r="M245" s="1039"/>
      <c r="N245" s="1039"/>
      <c r="O245" s="1090"/>
      <c r="P245" s="1039"/>
      <c r="Q245" s="1039"/>
      <c r="R245" s="1039"/>
      <c r="S245" s="1039"/>
      <c r="T245" s="1039"/>
      <c r="U245" s="1039"/>
      <c r="V245" s="1039"/>
      <c r="W245" s="1039"/>
      <c r="X245" s="1039"/>
      <c r="Y245" s="1039"/>
      <c r="Z245" s="1039"/>
      <c r="AI245" s="1034"/>
      <c r="AJ245" s="1034"/>
      <c r="AK245" s="1034"/>
      <c r="AL245" s="1034"/>
      <c r="AM245" s="1034"/>
      <c r="AN245" s="1034"/>
      <c r="AO245" s="1034"/>
      <c r="CN245" s="753"/>
      <c r="CO245" s="753"/>
      <c r="CP245" s="753"/>
      <c r="CQ245" s="753"/>
      <c r="CR245" s="753"/>
      <c r="CS245" s="753"/>
      <c r="CT245" s="753"/>
      <c r="CU245" s="753"/>
      <c r="CV245" s="753"/>
      <c r="CW245" s="753"/>
      <c r="CX245" s="753"/>
      <c r="CY245" s="753"/>
      <c r="CZ245" s="753"/>
      <c r="DA245" s="753"/>
      <c r="DB245" s="753"/>
      <c r="DC245" s="753"/>
      <c r="DD245" s="753"/>
      <c r="DE245" s="753"/>
      <c r="DF245" s="753"/>
      <c r="DG245" s="753"/>
      <c r="DH245" s="753"/>
      <c r="DI245" s="753"/>
      <c r="DJ245" s="753"/>
      <c r="DK245" s="753"/>
      <c r="DL245" s="753"/>
      <c r="DM245" s="776"/>
    </row>
    <row r="246" spans="1:117" s="758" customFormat="1">
      <c r="A246" s="784"/>
      <c r="B246" s="774"/>
      <c r="C246" s="804"/>
      <c r="D246" s="804"/>
      <c r="E246" s="773"/>
      <c r="F246" s="773"/>
      <c r="G246" s="773"/>
      <c r="H246" s="773"/>
      <c r="I246" s="780"/>
      <c r="J246" s="1039"/>
      <c r="K246" s="1039"/>
      <c r="L246" s="1039"/>
      <c r="M246" s="1039"/>
      <c r="N246" s="1039"/>
      <c r="O246" s="1090"/>
      <c r="P246" s="1039"/>
      <c r="Q246" s="1039"/>
      <c r="R246" s="1039"/>
      <c r="S246" s="1039"/>
      <c r="T246" s="1039"/>
      <c r="U246" s="1039"/>
      <c r="V246" s="1039"/>
      <c r="W246" s="1039"/>
      <c r="X246" s="1039"/>
      <c r="Y246" s="1039"/>
      <c r="Z246" s="1039"/>
      <c r="AI246" s="1034"/>
      <c r="AJ246" s="1034"/>
      <c r="AK246" s="1034"/>
      <c r="AL246" s="1034"/>
      <c r="AM246" s="1034"/>
      <c r="AN246" s="1034"/>
      <c r="AO246" s="1034"/>
      <c r="CN246" s="753"/>
      <c r="CO246" s="753"/>
      <c r="CP246" s="753"/>
      <c r="CQ246" s="753"/>
      <c r="CR246" s="753"/>
      <c r="CS246" s="753"/>
      <c r="CT246" s="753"/>
      <c r="CU246" s="753"/>
      <c r="CV246" s="753"/>
      <c r="CW246" s="753"/>
      <c r="CX246" s="753"/>
      <c r="CY246" s="753"/>
      <c r="CZ246" s="753"/>
      <c r="DA246" s="753"/>
      <c r="DB246" s="753"/>
      <c r="DC246" s="753"/>
      <c r="DD246" s="753"/>
      <c r="DE246" s="753"/>
      <c r="DF246" s="753"/>
      <c r="DG246" s="753"/>
      <c r="DH246" s="753"/>
      <c r="DI246" s="753"/>
      <c r="DJ246" s="753"/>
      <c r="DK246" s="753"/>
      <c r="DL246" s="753"/>
      <c r="DM246" s="776"/>
    </row>
    <row r="247" spans="1:117" s="758" customFormat="1">
      <c r="A247" s="784"/>
      <c r="B247" s="774"/>
      <c r="C247" s="804"/>
      <c r="D247" s="804"/>
      <c r="E247" s="773"/>
      <c r="F247" s="773"/>
      <c r="G247" s="773"/>
      <c r="H247" s="780"/>
      <c r="I247" s="780"/>
      <c r="J247" s="1039"/>
      <c r="K247" s="1039"/>
      <c r="L247" s="1039"/>
      <c r="M247" s="1039"/>
      <c r="N247" s="1039"/>
      <c r="O247" s="1090"/>
      <c r="P247" s="1039"/>
      <c r="Q247" s="1039"/>
      <c r="R247" s="1039"/>
      <c r="S247" s="1039"/>
      <c r="T247" s="1039"/>
      <c r="U247" s="1039"/>
      <c r="V247" s="1039"/>
      <c r="W247" s="1039"/>
      <c r="X247" s="1039"/>
      <c r="Y247" s="1039"/>
      <c r="Z247" s="1039"/>
      <c r="AI247" s="1034"/>
      <c r="AJ247" s="1034"/>
      <c r="AK247" s="1034"/>
      <c r="AL247" s="1034"/>
      <c r="AM247" s="1034"/>
      <c r="AN247" s="1034"/>
      <c r="AO247" s="1034"/>
      <c r="CN247" s="753"/>
      <c r="CO247" s="753"/>
      <c r="CP247" s="753"/>
      <c r="CQ247" s="753"/>
      <c r="CR247" s="753"/>
      <c r="CS247" s="753"/>
      <c r="CT247" s="753"/>
      <c r="CU247" s="753"/>
      <c r="CV247" s="753"/>
      <c r="CW247" s="753"/>
      <c r="CX247" s="753"/>
      <c r="CY247" s="753"/>
      <c r="CZ247" s="753"/>
      <c r="DA247" s="753"/>
      <c r="DB247" s="753"/>
      <c r="DC247" s="753"/>
      <c r="DD247" s="753"/>
      <c r="DE247" s="753"/>
      <c r="DF247" s="753"/>
      <c r="DG247" s="753"/>
      <c r="DH247" s="753"/>
      <c r="DI247" s="753"/>
      <c r="DJ247" s="753"/>
      <c r="DK247" s="753"/>
      <c r="DL247" s="753"/>
      <c r="DM247" s="776"/>
    </row>
    <row r="248" spans="1:117" s="758" customFormat="1">
      <c r="A248" s="784"/>
      <c r="B248" s="753"/>
      <c r="C248" s="804"/>
      <c r="D248" s="804"/>
      <c r="E248" s="773"/>
      <c r="F248" s="773"/>
      <c r="G248" s="780"/>
      <c r="H248" s="821"/>
      <c r="I248" s="780"/>
      <c r="J248" s="1039"/>
      <c r="K248" s="1039"/>
      <c r="L248" s="1039"/>
      <c r="M248" s="1039"/>
      <c r="N248" s="1039"/>
      <c r="O248" s="1090"/>
      <c r="P248" s="1039"/>
      <c r="Q248" s="1039"/>
      <c r="R248" s="1039"/>
      <c r="S248" s="1039"/>
      <c r="T248" s="1039"/>
      <c r="U248" s="1039"/>
      <c r="V248" s="1039"/>
      <c r="W248" s="1039"/>
      <c r="X248" s="1039"/>
      <c r="Y248" s="1039"/>
      <c r="Z248" s="1039"/>
      <c r="AI248" s="1034"/>
      <c r="AJ248" s="1034"/>
      <c r="AK248" s="1034"/>
      <c r="AL248" s="1034"/>
      <c r="AM248" s="1034"/>
      <c r="AN248" s="1034"/>
      <c r="AO248" s="1034"/>
      <c r="CN248" s="753"/>
      <c r="CO248" s="753"/>
      <c r="CP248" s="753"/>
      <c r="CQ248" s="753"/>
      <c r="CR248" s="753"/>
      <c r="CS248" s="753"/>
      <c r="CT248" s="753"/>
      <c r="CU248" s="753"/>
      <c r="CV248" s="753"/>
      <c r="CW248" s="753"/>
      <c r="CX248" s="753"/>
      <c r="CY248" s="753"/>
      <c r="CZ248" s="753"/>
      <c r="DA248" s="753"/>
      <c r="DB248" s="753"/>
      <c r="DC248" s="753"/>
      <c r="DD248" s="753"/>
      <c r="DE248" s="753"/>
      <c r="DF248" s="753"/>
      <c r="DG248" s="753"/>
      <c r="DH248" s="753"/>
      <c r="DI248" s="753"/>
      <c r="DJ248" s="753"/>
      <c r="DK248" s="753"/>
      <c r="DL248" s="753"/>
      <c r="DM248" s="776"/>
    </row>
    <row r="249" spans="1:117" s="758" customFormat="1">
      <c r="A249" s="773"/>
      <c r="B249" s="774"/>
      <c r="C249" s="773"/>
      <c r="D249" s="804"/>
      <c r="E249" s="773"/>
      <c r="F249" s="773"/>
      <c r="G249" s="773"/>
      <c r="H249" s="780"/>
      <c r="I249" s="780"/>
      <c r="J249" s="1039"/>
      <c r="K249" s="1039"/>
      <c r="L249" s="1039"/>
      <c r="M249" s="1039"/>
      <c r="N249" s="1039"/>
      <c r="O249" s="1090"/>
      <c r="P249" s="1039"/>
      <c r="Q249" s="1039"/>
      <c r="R249" s="1039"/>
      <c r="S249" s="1039"/>
      <c r="T249" s="1039"/>
      <c r="U249" s="1039"/>
      <c r="V249" s="1039"/>
      <c r="W249" s="1039"/>
      <c r="X249" s="1039"/>
      <c r="Y249" s="1039"/>
      <c r="Z249" s="1039"/>
      <c r="AI249" s="1034"/>
      <c r="AJ249" s="1034"/>
      <c r="AK249" s="1034"/>
      <c r="AL249" s="1034"/>
      <c r="AM249" s="1034"/>
      <c r="AN249" s="1034"/>
      <c r="AO249" s="1034"/>
      <c r="CN249" s="753"/>
      <c r="CO249" s="753"/>
      <c r="CP249" s="753"/>
      <c r="CQ249" s="753"/>
      <c r="CR249" s="753"/>
      <c r="CS249" s="753"/>
      <c r="CT249" s="753"/>
      <c r="CU249" s="753"/>
      <c r="CV249" s="753"/>
      <c r="CW249" s="753"/>
      <c r="CX249" s="753"/>
      <c r="CY249" s="753"/>
      <c r="CZ249" s="753"/>
      <c r="DA249" s="753"/>
      <c r="DB249" s="753"/>
      <c r="DC249" s="753"/>
      <c r="DD249" s="753"/>
      <c r="DE249" s="753"/>
      <c r="DF249" s="753"/>
      <c r="DG249" s="753"/>
      <c r="DH249" s="753"/>
      <c r="DI249" s="753"/>
      <c r="DJ249" s="753"/>
      <c r="DK249" s="753"/>
      <c r="DL249" s="753"/>
      <c r="DM249" s="776"/>
    </row>
    <row r="250" spans="1:117" s="758" customFormat="1">
      <c r="A250" s="824"/>
      <c r="B250" s="819"/>
      <c r="C250" s="804"/>
      <c r="D250" s="804"/>
      <c r="E250" s="773"/>
      <c r="F250" s="773"/>
      <c r="G250" s="773"/>
      <c r="H250" s="780"/>
      <c r="I250" s="780"/>
      <c r="J250" s="1039"/>
      <c r="K250" s="1039"/>
      <c r="L250" s="1039"/>
      <c r="M250" s="1039"/>
      <c r="N250" s="1039"/>
      <c r="O250" s="1090"/>
      <c r="P250" s="1039"/>
      <c r="Q250" s="1039"/>
      <c r="R250" s="1039"/>
      <c r="S250" s="1039"/>
      <c r="T250" s="1039"/>
      <c r="U250" s="1039"/>
      <c r="V250" s="1039"/>
      <c r="W250" s="1039"/>
      <c r="X250" s="1039"/>
      <c r="Y250" s="1039"/>
      <c r="Z250" s="1039"/>
      <c r="AI250" s="1034"/>
      <c r="AJ250" s="1034"/>
      <c r="AK250" s="1034"/>
      <c r="AL250" s="1034"/>
      <c r="AM250" s="1034"/>
      <c r="AN250" s="1034"/>
      <c r="AO250" s="1034"/>
      <c r="CN250" s="753"/>
      <c r="CO250" s="753"/>
      <c r="CP250" s="753"/>
      <c r="CQ250" s="753"/>
      <c r="CR250" s="753"/>
      <c r="CS250" s="753"/>
      <c r="CT250" s="753"/>
      <c r="CU250" s="753"/>
      <c r="CV250" s="753"/>
      <c r="CW250" s="753"/>
      <c r="CX250" s="753"/>
      <c r="CY250" s="753"/>
      <c r="CZ250" s="753"/>
      <c r="DA250" s="753"/>
      <c r="DB250" s="753"/>
      <c r="DC250" s="753"/>
      <c r="DD250" s="753"/>
      <c r="DE250" s="753"/>
      <c r="DF250" s="753"/>
      <c r="DG250" s="753"/>
      <c r="DH250" s="753"/>
      <c r="DI250" s="753"/>
      <c r="DJ250" s="753"/>
      <c r="DK250" s="753"/>
      <c r="DL250" s="753"/>
      <c r="DM250" s="776"/>
    </row>
    <row r="251" spans="1:117" s="758" customFormat="1">
      <c r="A251" s="784"/>
      <c r="B251" s="774"/>
      <c r="C251" s="804"/>
      <c r="D251" s="804"/>
      <c r="E251" s="773"/>
      <c r="F251" s="773"/>
      <c r="G251" s="773"/>
      <c r="H251" s="780"/>
      <c r="I251" s="780"/>
      <c r="J251" s="1039"/>
      <c r="K251" s="1039"/>
      <c r="L251" s="1039"/>
      <c r="M251" s="1039"/>
      <c r="N251" s="1039"/>
      <c r="O251" s="1090"/>
      <c r="P251" s="1039"/>
      <c r="Q251" s="1039"/>
      <c r="R251" s="1039"/>
      <c r="S251" s="1039"/>
      <c r="T251" s="1039"/>
      <c r="U251" s="1039"/>
      <c r="V251" s="1039"/>
      <c r="W251" s="1039"/>
      <c r="X251" s="1039"/>
      <c r="Y251" s="1039"/>
      <c r="Z251" s="1039"/>
      <c r="AI251" s="1034"/>
      <c r="AJ251" s="1034"/>
      <c r="AK251" s="1034"/>
      <c r="AL251" s="1034"/>
      <c r="AM251" s="1034"/>
      <c r="AN251" s="1034"/>
      <c r="AO251" s="1034"/>
      <c r="CN251" s="753"/>
      <c r="CO251" s="753"/>
      <c r="CP251" s="753"/>
      <c r="CQ251" s="753"/>
      <c r="CR251" s="753"/>
      <c r="CS251" s="753"/>
      <c r="CT251" s="753"/>
      <c r="CU251" s="753"/>
      <c r="CV251" s="753"/>
      <c r="CW251" s="753"/>
      <c r="CX251" s="753"/>
      <c r="CY251" s="753"/>
      <c r="CZ251" s="753"/>
      <c r="DA251" s="753"/>
      <c r="DB251" s="753"/>
      <c r="DC251" s="753"/>
      <c r="DD251" s="753"/>
      <c r="DE251" s="753"/>
      <c r="DF251" s="753"/>
      <c r="DG251" s="753"/>
      <c r="DH251" s="753"/>
      <c r="DI251" s="753"/>
      <c r="DJ251" s="753"/>
      <c r="DK251" s="753"/>
      <c r="DL251" s="753"/>
      <c r="DM251" s="776"/>
    </row>
    <row r="252" spans="1:117" s="758" customFormat="1">
      <c r="A252" s="784"/>
      <c r="B252" s="768"/>
      <c r="C252" s="804"/>
      <c r="D252" s="804"/>
      <c r="E252" s="773"/>
      <c r="F252" s="773"/>
      <c r="G252" s="773"/>
      <c r="H252" s="780"/>
      <c r="I252" s="780"/>
      <c r="J252" s="1039"/>
      <c r="K252" s="1039"/>
      <c r="L252" s="1039"/>
      <c r="M252" s="1039"/>
      <c r="N252" s="1039"/>
      <c r="O252" s="1090"/>
      <c r="P252" s="1039"/>
      <c r="Q252" s="1039"/>
      <c r="R252" s="1039"/>
      <c r="S252" s="1039"/>
      <c r="T252" s="1039"/>
      <c r="U252" s="1039"/>
      <c r="V252" s="1039"/>
      <c r="W252" s="1039"/>
      <c r="X252" s="1039"/>
      <c r="Y252" s="1039"/>
      <c r="Z252" s="1039"/>
      <c r="AI252" s="1034"/>
      <c r="AJ252" s="1034"/>
      <c r="AK252" s="1034"/>
      <c r="AL252" s="1034"/>
      <c r="AM252" s="1034"/>
      <c r="AN252" s="1034"/>
      <c r="AO252" s="1034"/>
      <c r="CN252" s="753"/>
      <c r="CO252" s="753"/>
      <c r="CP252" s="753"/>
      <c r="CQ252" s="753"/>
      <c r="CR252" s="753"/>
      <c r="CS252" s="753"/>
      <c r="CT252" s="753"/>
      <c r="CU252" s="753"/>
      <c r="CV252" s="753"/>
      <c r="CW252" s="753"/>
      <c r="CX252" s="753"/>
      <c r="CY252" s="753"/>
      <c r="CZ252" s="753"/>
      <c r="DA252" s="753"/>
      <c r="DB252" s="753"/>
      <c r="DC252" s="753"/>
      <c r="DD252" s="753"/>
      <c r="DE252" s="753"/>
      <c r="DF252" s="753"/>
      <c r="DG252" s="753"/>
      <c r="DH252" s="753"/>
      <c r="DI252" s="753"/>
      <c r="DJ252" s="753"/>
      <c r="DK252" s="753"/>
      <c r="DL252" s="753"/>
      <c r="DM252" s="776"/>
    </row>
    <row r="253" spans="1:117" s="758" customFormat="1">
      <c r="A253" s="784"/>
      <c r="B253" s="774"/>
      <c r="C253" s="804"/>
      <c r="D253" s="804"/>
      <c r="E253" s="773"/>
      <c r="F253" s="773"/>
      <c r="G253" s="773"/>
      <c r="H253" s="780"/>
      <c r="I253" s="780"/>
      <c r="J253" s="1039"/>
      <c r="K253" s="1039"/>
      <c r="L253" s="1039"/>
      <c r="M253" s="1039"/>
      <c r="N253" s="1039"/>
      <c r="O253" s="1090"/>
      <c r="P253" s="1039"/>
      <c r="Q253" s="1039"/>
      <c r="R253" s="1039"/>
      <c r="S253" s="1039"/>
      <c r="T253" s="1039"/>
      <c r="U253" s="1039"/>
      <c r="V253" s="1039"/>
      <c r="W253" s="1039"/>
      <c r="X253" s="1039"/>
      <c r="Y253" s="1039"/>
      <c r="Z253" s="1039"/>
      <c r="AI253" s="1034"/>
      <c r="AJ253" s="1034"/>
      <c r="AK253" s="1034"/>
      <c r="AL253" s="1034"/>
      <c r="AM253" s="1034"/>
      <c r="AN253" s="1034"/>
      <c r="AO253" s="1034"/>
      <c r="CN253" s="753"/>
      <c r="CO253" s="753"/>
      <c r="CP253" s="753"/>
      <c r="CQ253" s="753"/>
      <c r="CR253" s="753"/>
      <c r="CS253" s="753"/>
      <c r="CT253" s="753"/>
      <c r="CU253" s="753"/>
      <c r="CV253" s="753"/>
      <c r="CW253" s="753"/>
      <c r="CX253" s="753"/>
      <c r="CY253" s="753"/>
      <c r="CZ253" s="753"/>
      <c r="DA253" s="753"/>
      <c r="DB253" s="753"/>
      <c r="DC253" s="753"/>
      <c r="DD253" s="753"/>
      <c r="DE253" s="753"/>
      <c r="DF253" s="753"/>
      <c r="DG253" s="753"/>
      <c r="DH253" s="753"/>
      <c r="DI253" s="753"/>
      <c r="DJ253" s="753"/>
      <c r="DK253" s="753"/>
      <c r="DL253" s="753"/>
      <c r="DM253" s="776"/>
    </row>
    <row r="254" spans="1:117" s="758" customFormat="1">
      <c r="A254" s="784"/>
      <c r="B254" s="774"/>
      <c r="C254" s="804"/>
      <c r="D254" s="804"/>
      <c r="E254" s="773"/>
      <c r="F254" s="773"/>
      <c r="G254" s="773"/>
      <c r="H254" s="780"/>
      <c r="I254" s="780"/>
      <c r="J254" s="1039"/>
      <c r="K254" s="1039"/>
      <c r="L254" s="1039"/>
      <c r="M254" s="1039"/>
      <c r="N254" s="1039"/>
      <c r="O254" s="1090"/>
      <c r="P254" s="1039"/>
      <c r="Q254" s="1039"/>
      <c r="R254" s="1039"/>
      <c r="S254" s="1039"/>
      <c r="T254" s="1039"/>
      <c r="U254" s="1039"/>
      <c r="V254" s="1039"/>
      <c r="W254" s="1039"/>
      <c r="X254" s="1039"/>
      <c r="Y254" s="1039"/>
      <c r="Z254" s="1039"/>
      <c r="AI254" s="1034"/>
      <c r="AJ254" s="1034"/>
      <c r="AK254" s="1034"/>
      <c r="AL254" s="1034"/>
      <c r="AM254" s="1034"/>
      <c r="AN254" s="1034"/>
      <c r="AO254" s="1034"/>
      <c r="CN254" s="753"/>
      <c r="CO254" s="753"/>
      <c r="CP254" s="753"/>
      <c r="CQ254" s="753"/>
      <c r="CR254" s="753"/>
      <c r="CS254" s="753"/>
      <c r="CT254" s="753"/>
      <c r="CU254" s="753"/>
      <c r="CV254" s="753"/>
      <c r="CW254" s="753"/>
      <c r="CX254" s="753"/>
      <c r="CY254" s="753"/>
      <c r="CZ254" s="753"/>
      <c r="DA254" s="753"/>
      <c r="DB254" s="753"/>
      <c r="DC254" s="753"/>
      <c r="DD254" s="753"/>
      <c r="DE254" s="753"/>
      <c r="DF254" s="753"/>
      <c r="DG254" s="753"/>
      <c r="DH254" s="753"/>
      <c r="DI254" s="753"/>
      <c r="DJ254" s="753"/>
      <c r="DK254" s="753"/>
      <c r="DL254" s="753"/>
      <c r="DM254" s="776"/>
    </row>
    <row r="255" spans="1:117" s="758" customFormat="1">
      <c r="A255" s="784"/>
      <c r="B255" s="773"/>
      <c r="C255" s="804"/>
      <c r="D255" s="804"/>
      <c r="E255" s="773"/>
      <c r="F255" s="773"/>
      <c r="G255" s="780"/>
      <c r="H255" s="821"/>
      <c r="I255" s="773"/>
      <c r="J255" s="1039"/>
      <c r="K255" s="1039"/>
      <c r="L255" s="1039"/>
      <c r="M255" s="1039"/>
      <c r="N255" s="1039"/>
      <c r="O255" s="1090"/>
      <c r="P255" s="1039"/>
      <c r="Q255" s="1039"/>
      <c r="R255" s="1039"/>
      <c r="S255" s="1039"/>
      <c r="T255" s="1039"/>
      <c r="U255" s="1039"/>
      <c r="V255" s="1039"/>
      <c r="W255" s="1039"/>
      <c r="X255" s="1039"/>
      <c r="Y255" s="1039"/>
      <c r="Z255" s="1039"/>
      <c r="AI255" s="1034"/>
      <c r="AJ255" s="1034"/>
      <c r="AK255" s="1034"/>
      <c r="AL255" s="1034"/>
      <c r="AM255" s="1034"/>
      <c r="AN255" s="1034"/>
      <c r="AO255" s="1034"/>
      <c r="CN255" s="753"/>
      <c r="CO255" s="753"/>
      <c r="CP255" s="753"/>
      <c r="CQ255" s="753"/>
      <c r="CR255" s="753"/>
      <c r="CS255" s="753"/>
      <c r="CT255" s="753"/>
      <c r="CU255" s="753"/>
      <c r="CV255" s="753"/>
      <c r="CW255" s="753"/>
      <c r="CX255" s="753"/>
      <c r="CY255" s="753"/>
      <c r="CZ255" s="753"/>
      <c r="DA255" s="753"/>
      <c r="DB255" s="753"/>
      <c r="DC255" s="753"/>
      <c r="DD255" s="753"/>
      <c r="DE255" s="753"/>
      <c r="DF255" s="753"/>
      <c r="DG255" s="753"/>
      <c r="DH255" s="753"/>
      <c r="DI255" s="753"/>
      <c r="DJ255" s="753"/>
      <c r="DK255" s="753"/>
      <c r="DL255" s="753"/>
      <c r="DM255" s="776"/>
    </row>
    <row r="256" spans="1:117" s="758" customFormat="1">
      <c r="A256" s="773"/>
      <c r="B256" s="774"/>
      <c r="C256" s="773"/>
      <c r="D256" s="804"/>
      <c r="E256" s="773"/>
      <c r="F256" s="773"/>
      <c r="G256" s="773"/>
      <c r="H256" s="773"/>
      <c r="I256" s="773"/>
      <c r="J256" s="1039"/>
      <c r="K256" s="1039"/>
      <c r="L256" s="1039"/>
      <c r="M256" s="1039"/>
      <c r="N256" s="1039"/>
      <c r="O256" s="1090"/>
      <c r="P256" s="1039"/>
      <c r="Q256" s="1039"/>
      <c r="R256" s="1039"/>
      <c r="S256" s="1039"/>
      <c r="T256" s="1039"/>
      <c r="U256" s="1039"/>
      <c r="V256" s="1039"/>
      <c r="W256" s="1039"/>
      <c r="X256" s="1039"/>
      <c r="Y256" s="1039"/>
      <c r="Z256" s="1039"/>
      <c r="AI256" s="1034"/>
      <c r="AJ256" s="1034"/>
      <c r="AK256" s="1034"/>
      <c r="AL256" s="1034"/>
      <c r="AM256" s="1034"/>
      <c r="AN256" s="1034"/>
      <c r="AO256" s="1034"/>
      <c r="CN256" s="753"/>
      <c r="CO256" s="753"/>
      <c r="CP256" s="753"/>
      <c r="CQ256" s="753"/>
      <c r="CR256" s="753"/>
      <c r="CS256" s="753"/>
      <c r="CT256" s="753"/>
      <c r="CU256" s="753"/>
      <c r="CV256" s="753"/>
      <c r="CW256" s="753"/>
      <c r="CX256" s="753"/>
      <c r="CY256" s="753"/>
      <c r="CZ256" s="753"/>
      <c r="DA256" s="753"/>
      <c r="DB256" s="753"/>
      <c r="DC256" s="753"/>
      <c r="DD256" s="753"/>
      <c r="DE256" s="753"/>
      <c r="DF256" s="753"/>
      <c r="DG256" s="753"/>
      <c r="DH256" s="753"/>
      <c r="DI256" s="753"/>
      <c r="DJ256" s="753"/>
      <c r="DK256" s="753"/>
      <c r="DL256" s="753"/>
      <c r="DM256" s="776"/>
    </row>
    <row r="257" spans="1:117" s="758" customFormat="1">
      <c r="A257" s="784"/>
      <c r="B257" s="819"/>
      <c r="C257" s="804"/>
      <c r="D257" s="804"/>
      <c r="E257" s="773"/>
      <c r="F257" s="773"/>
      <c r="G257" s="773"/>
      <c r="H257" s="773"/>
      <c r="I257" s="780"/>
      <c r="J257" s="1039"/>
      <c r="K257" s="1039"/>
      <c r="L257" s="1039"/>
      <c r="M257" s="1039"/>
      <c r="N257" s="1039"/>
      <c r="O257" s="1090"/>
      <c r="P257" s="1039"/>
      <c r="Q257" s="1039"/>
      <c r="R257" s="1039"/>
      <c r="S257" s="1039"/>
      <c r="T257" s="1039"/>
      <c r="U257" s="1039"/>
      <c r="V257" s="1039"/>
      <c r="W257" s="1039"/>
      <c r="X257" s="1039"/>
      <c r="Y257" s="1039"/>
      <c r="Z257" s="1039"/>
      <c r="AI257" s="1034"/>
      <c r="AJ257" s="1034"/>
      <c r="AK257" s="1034"/>
      <c r="AL257" s="1034"/>
      <c r="AM257" s="1034"/>
      <c r="AN257" s="1034"/>
      <c r="AO257" s="1034"/>
      <c r="CN257" s="753"/>
      <c r="CO257" s="753"/>
      <c r="CP257" s="753"/>
      <c r="CQ257" s="753"/>
      <c r="CR257" s="753"/>
      <c r="CS257" s="753"/>
      <c r="CT257" s="753"/>
      <c r="CU257" s="753"/>
      <c r="CV257" s="753"/>
      <c r="CW257" s="753"/>
      <c r="CX257" s="753"/>
      <c r="CY257" s="753"/>
      <c r="CZ257" s="753"/>
      <c r="DA257" s="753"/>
      <c r="DB257" s="753"/>
      <c r="DC257" s="753"/>
      <c r="DD257" s="753"/>
      <c r="DE257" s="753"/>
      <c r="DF257" s="753"/>
      <c r="DG257" s="753"/>
      <c r="DH257" s="753"/>
      <c r="DI257" s="753"/>
      <c r="DJ257" s="753"/>
      <c r="DK257" s="753"/>
      <c r="DL257" s="753"/>
      <c r="DM257" s="776"/>
    </row>
    <row r="258" spans="1:117" s="758" customFormat="1">
      <c r="A258" s="784"/>
      <c r="B258" s="819"/>
      <c r="C258" s="804"/>
      <c r="D258" s="804"/>
      <c r="E258" s="773"/>
      <c r="F258" s="773"/>
      <c r="G258" s="773"/>
      <c r="H258" s="773"/>
      <c r="I258" s="773"/>
      <c r="J258" s="1039"/>
      <c r="K258" s="1039"/>
      <c r="L258" s="1039"/>
      <c r="M258" s="1039"/>
      <c r="N258" s="1039"/>
      <c r="O258" s="1090"/>
      <c r="P258" s="1039"/>
      <c r="Q258" s="1039"/>
      <c r="R258" s="1039"/>
      <c r="S258" s="1039"/>
      <c r="T258" s="1039"/>
      <c r="U258" s="1039"/>
      <c r="V258" s="1039"/>
      <c r="W258" s="1039"/>
      <c r="X258" s="1039"/>
      <c r="Y258" s="1039"/>
      <c r="Z258" s="1039"/>
      <c r="AI258" s="1034"/>
      <c r="AJ258" s="1034"/>
      <c r="AK258" s="1034"/>
      <c r="AL258" s="1034"/>
      <c r="AM258" s="1034"/>
      <c r="AN258" s="1034"/>
      <c r="AO258" s="1034"/>
      <c r="CN258" s="753"/>
      <c r="CO258" s="753"/>
      <c r="CP258" s="753"/>
      <c r="CQ258" s="753"/>
      <c r="CR258" s="753"/>
      <c r="CS258" s="753"/>
      <c r="CT258" s="753"/>
      <c r="CU258" s="753"/>
      <c r="CV258" s="753"/>
      <c r="CW258" s="753"/>
      <c r="CX258" s="753"/>
      <c r="CY258" s="753"/>
      <c r="CZ258" s="753"/>
      <c r="DA258" s="753"/>
      <c r="DB258" s="753"/>
      <c r="DC258" s="753"/>
      <c r="DD258" s="753"/>
      <c r="DE258" s="753"/>
      <c r="DF258" s="753"/>
      <c r="DG258" s="753"/>
      <c r="DH258" s="753"/>
      <c r="DI258" s="753"/>
      <c r="DJ258" s="753"/>
      <c r="DK258" s="753"/>
      <c r="DL258" s="753"/>
      <c r="DM258" s="776"/>
    </row>
    <row r="259" spans="1:117" s="758" customFormat="1">
      <c r="A259" s="822"/>
      <c r="B259" s="819"/>
      <c r="C259" s="804"/>
      <c r="D259" s="805"/>
      <c r="E259" s="780"/>
      <c r="F259" s="780"/>
      <c r="G259" s="780"/>
      <c r="H259" s="801"/>
      <c r="I259" s="773"/>
      <c r="J259" s="1039"/>
      <c r="K259" s="1039"/>
      <c r="L259" s="1039"/>
      <c r="M259" s="1039"/>
      <c r="N259" s="1039"/>
      <c r="O259" s="1090"/>
      <c r="P259" s="1039"/>
      <c r="Q259" s="1039"/>
      <c r="R259" s="1039"/>
      <c r="S259" s="1039"/>
      <c r="T259" s="1039"/>
      <c r="U259" s="1039"/>
      <c r="V259" s="1039"/>
      <c r="W259" s="1039"/>
      <c r="X259" s="1039"/>
      <c r="Y259" s="1039"/>
      <c r="Z259" s="1039"/>
      <c r="AI259" s="1034"/>
      <c r="AJ259" s="1034"/>
      <c r="AK259" s="1034"/>
      <c r="AL259" s="1034"/>
      <c r="AM259" s="1034"/>
      <c r="AN259" s="1034"/>
      <c r="AO259" s="1034"/>
      <c r="CN259" s="753"/>
      <c r="CO259" s="753"/>
      <c r="CP259" s="753"/>
      <c r="CQ259" s="753"/>
      <c r="CR259" s="753"/>
      <c r="CS259" s="753"/>
      <c r="CT259" s="753"/>
      <c r="CU259" s="753"/>
      <c r="CV259" s="753"/>
      <c r="CW259" s="753"/>
      <c r="CX259" s="753"/>
      <c r="CY259" s="753"/>
      <c r="CZ259" s="753"/>
      <c r="DA259" s="753"/>
      <c r="DB259" s="753"/>
      <c r="DC259" s="753"/>
      <c r="DD259" s="753"/>
      <c r="DE259" s="753"/>
      <c r="DF259" s="753"/>
      <c r="DG259" s="753"/>
      <c r="DH259" s="753"/>
      <c r="DI259" s="753"/>
      <c r="DJ259" s="753"/>
      <c r="DK259" s="753"/>
      <c r="DL259" s="753"/>
      <c r="DM259" s="776"/>
    </row>
    <row r="260" spans="1:117" s="758" customFormat="1">
      <c r="A260" s="822"/>
      <c r="B260" s="780"/>
      <c r="C260" s="804"/>
      <c r="D260" s="805"/>
      <c r="E260" s="780"/>
      <c r="F260" s="780"/>
      <c r="G260" s="780"/>
      <c r="H260" s="780"/>
      <c r="I260" s="780"/>
      <c r="J260" s="1039"/>
      <c r="K260" s="1039"/>
      <c r="L260" s="1039"/>
      <c r="M260" s="1039"/>
      <c r="N260" s="1039"/>
      <c r="O260" s="1090"/>
      <c r="P260" s="1039"/>
      <c r="Q260" s="1039"/>
      <c r="R260" s="1039"/>
      <c r="S260" s="1039"/>
      <c r="T260" s="1039"/>
      <c r="U260" s="1039"/>
      <c r="V260" s="1039"/>
      <c r="W260" s="1039"/>
      <c r="X260" s="1039"/>
      <c r="Y260" s="1039"/>
      <c r="Z260" s="1039"/>
      <c r="AI260" s="1034"/>
      <c r="AJ260" s="1034"/>
      <c r="AK260" s="1034"/>
      <c r="AL260" s="1034"/>
      <c r="AM260" s="1034"/>
      <c r="AN260" s="1034"/>
      <c r="AO260" s="1034"/>
      <c r="CN260" s="753"/>
      <c r="CO260" s="753"/>
      <c r="CP260" s="753"/>
      <c r="CQ260" s="753"/>
      <c r="CR260" s="753"/>
      <c r="CS260" s="753"/>
      <c r="CT260" s="753"/>
      <c r="CU260" s="753"/>
      <c r="CV260" s="753"/>
      <c r="CW260" s="753"/>
      <c r="CX260" s="753"/>
      <c r="CY260" s="753"/>
      <c r="CZ260" s="753"/>
      <c r="DA260" s="753"/>
      <c r="DB260" s="753"/>
      <c r="DC260" s="753"/>
      <c r="DD260" s="753"/>
      <c r="DE260" s="753"/>
      <c r="DF260" s="753"/>
      <c r="DG260" s="753"/>
      <c r="DH260" s="753"/>
      <c r="DI260" s="753"/>
      <c r="DJ260" s="753"/>
      <c r="DK260" s="753"/>
      <c r="DL260" s="753"/>
      <c r="DM260" s="776"/>
    </row>
    <row r="261" spans="1:117" s="758" customFormat="1">
      <c r="A261" s="780"/>
      <c r="B261" s="780"/>
      <c r="C261" s="780"/>
      <c r="D261" s="780"/>
      <c r="E261" s="780"/>
      <c r="F261" s="780"/>
      <c r="G261" s="801"/>
      <c r="H261" s="780"/>
      <c r="I261" s="780"/>
      <c r="J261" s="1039"/>
      <c r="K261" s="1039"/>
      <c r="L261" s="1039"/>
      <c r="M261" s="1039"/>
      <c r="N261" s="1039"/>
      <c r="O261" s="1090"/>
      <c r="P261" s="1039"/>
      <c r="Q261" s="1039"/>
      <c r="R261" s="1039"/>
      <c r="S261" s="1039"/>
      <c r="T261" s="1039"/>
      <c r="U261" s="1039"/>
      <c r="V261" s="1039"/>
      <c r="W261" s="1039"/>
      <c r="X261" s="1039"/>
      <c r="Y261" s="1039"/>
      <c r="Z261" s="1039"/>
      <c r="AI261" s="1034"/>
      <c r="AJ261" s="1034"/>
      <c r="AK261" s="1034"/>
      <c r="AL261" s="1034"/>
      <c r="AM261" s="1034"/>
      <c r="AN261" s="1034"/>
      <c r="AO261" s="1034"/>
      <c r="CN261" s="753"/>
      <c r="CO261" s="753"/>
      <c r="CP261" s="753"/>
      <c r="CQ261" s="753"/>
      <c r="CR261" s="753"/>
      <c r="CS261" s="753"/>
      <c r="CT261" s="753"/>
      <c r="CU261" s="753"/>
      <c r="CV261" s="753"/>
      <c r="CW261" s="753"/>
      <c r="CX261" s="753"/>
      <c r="CY261" s="753"/>
      <c r="CZ261" s="753"/>
      <c r="DA261" s="753"/>
      <c r="DB261" s="753"/>
      <c r="DC261" s="753"/>
      <c r="DD261" s="753"/>
      <c r="DE261" s="753"/>
      <c r="DF261" s="753"/>
      <c r="DG261" s="753"/>
      <c r="DH261" s="753"/>
      <c r="DI261" s="753"/>
      <c r="DJ261" s="753"/>
      <c r="DK261" s="753"/>
      <c r="DL261" s="753"/>
      <c r="DM261" s="776"/>
    </row>
    <row r="262" spans="1:117" s="758" customFormat="1">
      <c r="A262" s="780"/>
      <c r="B262" s="780"/>
      <c r="C262" s="780"/>
      <c r="D262" s="780"/>
      <c r="E262" s="773"/>
      <c r="F262" s="801"/>
      <c r="G262" s="780"/>
      <c r="H262" s="780"/>
      <c r="I262" s="780"/>
      <c r="J262" s="1039"/>
      <c r="K262" s="1039"/>
      <c r="L262" s="1039"/>
      <c r="M262" s="1039"/>
      <c r="N262" s="1039"/>
      <c r="O262" s="1090"/>
      <c r="P262" s="1039"/>
      <c r="Q262" s="1039"/>
      <c r="R262" s="1039"/>
      <c r="S262" s="1039"/>
      <c r="T262" s="1039"/>
      <c r="U262" s="1039"/>
      <c r="V262" s="1039"/>
      <c r="W262" s="1039"/>
      <c r="X262" s="1039"/>
      <c r="Y262" s="1039"/>
      <c r="Z262" s="1039"/>
      <c r="AI262" s="1034"/>
      <c r="AJ262" s="1034"/>
      <c r="AK262" s="1034"/>
      <c r="AL262" s="1034"/>
      <c r="AM262" s="1034"/>
      <c r="AN262" s="1034"/>
      <c r="AO262" s="1034"/>
      <c r="CN262" s="753"/>
      <c r="CO262" s="753"/>
      <c r="CP262" s="753"/>
      <c r="CQ262" s="753"/>
      <c r="CR262" s="753"/>
      <c r="CS262" s="753"/>
      <c r="CT262" s="753"/>
      <c r="CU262" s="753"/>
      <c r="CV262" s="753"/>
      <c r="CW262" s="753"/>
      <c r="CX262" s="753"/>
      <c r="CY262" s="753"/>
      <c r="CZ262" s="753"/>
      <c r="DA262" s="753"/>
      <c r="DB262" s="753"/>
      <c r="DC262" s="753"/>
      <c r="DD262" s="753"/>
      <c r="DE262" s="753"/>
      <c r="DF262" s="753"/>
      <c r="DG262" s="753"/>
      <c r="DH262" s="753"/>
      <c r="DI262" s="753"/>
      <c r="DJ262" s="753"/>
      <c r="DK262" s="753"/>
      <c r="DL262" s="753"/>
      <c r="DM262" s="776"/>
    </row>
    <row r="263" spans="1:117" s="758" customFormat="1">
      <c r="A263" s="780"/>
      <c r="B263" s="780"/>
      <c r="C263" s="780"/>
      <c r="D263" s="780"/>
      <c r="E263" s="773"/>
      <c r="F263" s="773"/>
      <c r="G263" s="780"/>
      <c r="H263" s="780"/>
      <c r="I263" s="780"/>
      <c r="J263" s="1039"/>
      <c r="K263" s="1039"/>
      <c r="L263" s="1039"/>
      <c r="M263" s="1039"/>
      <c r="N263" s="1039"/>
      <c r="O263" s="1090"/>
      <c r="P263" s="1039"/>
      <c r="Q263" s="1039"/>
      <c r="R263" s="1039"/>
      <c r="S263" s="1039"/>
      <c r="T263" s="1039"/>
      <c r="U263" s="1039"/>
      <c r="V263" s="1039"/>
      <c r="W263" s="1039"/>
      <c r="X263" s="1039"/>
      <c r="Y263" s="1039"/>
      <c r="Z263" s="1039"/>
      <c r="AI263" s="1034"/>
      <c r="AJ263" s="1034"/>
      <c r="AK263" s="1034"/>
      <c r="AL263" s="1034"/>
      <c r="AM263" s="1034"/>
      <c r="AN263" s="1034"/>
      <c r="AO263" s="1034"/>
      <c r="CN263" s="753"/>
      <c r="CO263" s="753"/>
      <c r="CP263" s="753"/>
      <c r="CQ263" s="753"/>
      <c r="CR263" s="753"/>
      <c r="CS263" s="753"/>
      <c r="CT263" s="753"/>
      <c r="CU263" s="753"/>
      <c r="CV263" s="753"/>
      <c r="CW263" s="753"/>
      <c r="CX263" s="753"/>
      <c r="CY263" s="753"/>
      <c r="CZ263" s="753"/>
      <c r="DA263" s="753"/>
      <c r="DB263" s="753"/>
      <c r="DC263" s="753"/>
      <c r="DD263" s="753"/>
      <c r="DE263" s="753"/>
      <c r="DF263" s="753"/>
      <c r="DG263" s="753"/>
      <c r="DH263" s="753"/>
      <c r="DI263" s="753"/>
      <c r="DJ263" s="753"/>
      <c r="DK263" s="753"/>
      <c r="DL263" s="753"/>
      <c r="DM263" s="776"/>
    </row>
    <row r="264" spans="1:117" s="758" customFormat="1">
      <c r="A264" s="780"/>
      <c r="B264" s="780"/>
      <c r="C264" s="780"/>
      <c r="D264" s="780"/>
      <c r="E264" s="780"/>
      <c r="F264" s="780"/>
      <c r="G264" s="780"/>
      <c r="H264" s="780"/>
      <c r="I264" s="764"/>
      <c r="J264" s="1039"/>
      <c r="K264" s="1039"/>
      <c r="L264" s="1039"/>
      <c r="M264" s="1039"/>
      <c r="N264" s="1039"/>
      <c r="O264" s="1090"/>
      <c r="P264" s="1039"/>
      <c r="Q264" s="1039"/>
      <c r="R264" s="1039"/>
      <c r="S264" s="1039"/>
      <c r="T264" s="1039"/>
      <c r="U264" s="1039"/>
      <c r="V264" s="1039"/>
      <c r="W264" s="1039"/>
      <c r="X264" s="1039"/>
      <c r="Y264" s="1039"/>
      <c r="Z264" s="1039"/>
      <c r="AI264" s="1034"/>
      <c r="AJ264" s="1034"/>
      <c r="AK264" s="1034"/>
      <c r="AL264" s="1034"/>
      <c r="AM264" s="1034"/>
      <c r="AN264" s="1034"/>
      <c r="AO264" s="1034"/>
      <c r="CN264" s="753"/>
      <c r="CO264" s="753"/>
      <c r="CP264" s="753"/>
      <c r="CQ264" s="753"/>
      <c r="CR264" s="753"/>
      <c r="CS264" s="753"/>
      <c r="CT264" s="753"/>
      <c r="CU264" s="753"/>
      <c r="CV264" s="753"/>
      <c r="CW264" s="753"/>
      <c r="CX264" s="753"/>
      <c r="CY264" s="753"/>
      <c r="CZ264" s="753"/>
      <c r="DA264" s="753"/>
      <c r="DB264" s="753"/>
      <c r="DC264" s="753"/>
      <c r="DD264" s="753"/>
      <c r="DE264" s="753"/>
      <c r="DF264" s="753"/>
      <c r="DG264" s="753"/>
      <c r="DH264" s="753"/>
      <c r="DI264" s="753"/>
      <c r="DJ264" s="753"/>
      <c r="DK264" s="753"/>
      <c r="DL264" s="753"/>
      <c r="DM264" s="776"/>
    </row>
    <row r="265" spans="1:117" s="758" customFormat="1">
      <c r="A265" s="780"/>
      <c r="B265" s="780"/>
      <c r="C265" s="780"/>
      <c r="D265" s="780"/>
      <c r="E265" s="780"/>
      <c r="F265" s="780"/>
      <c r="G265" s="780"/>
      <c r="H265" s="788"/>
      <c r="I265" s="789"/>
      <c r="J265" s="1039"/>
      <c r="K265" s="1039"/>
      <c r="L265" s="1039"/>
      <c r="M265" s="1039"/>
      <c r="N265" s="1039"/>
      <c r="O265" s="1090"/>
      <c r="P265" s="1039"/>
      <c r="Q265" s="1039"/>
      <c r="R265" s="1039"/>
      <c r="S265" s="1039"/>
      <c r="T265" s="1039"/>
      <c r="U265" s="1039"/>
      <c r="V265" s="1039"/>
      <c r="W265" s="1039"/>
      <c r="X265" s="1039"/>
      <c r="Y265" s="1039"/>
      <c r="Z265" s="1039"/>
      <c r="AI265" s="1034"/>
      <c r="AJ265" s="1034"/>
      <c r="AK265" s="1034"/>
      <c r="AL265" s="1034"/>
      <c r="AM265" s="1034"/>
      <c r="AN265" s="1034"/>
      <c r="AO265" s="1034"/>
      <c r="CN265" s="753"/>
      <c r="CO265" s="753"/>
      <c r="CP265" s="753"/>
      <c r="CQ265" s="753"/>
      <c r="CR265" s="753"/>
      <c r="CS265" s="753"/>
      <c r="CT265" s="753"/>
      <c r="CU265" s="753"/>
      <c r="CV265" s="753"/>
      <c r="CW265" s="753"/>
      <c r="CX265" s="753"/>
      <c r="CY265" s="753"/>
      <c r="CZ265" s="753"/>
      <c r="DA265" s="753"/>
      <c r="DB265" s="753"/>
      <c r="DC265" s="753"/>
      <c r="DD265" s="753"/>
      <c r="DE265" s="753"/>
      <c r="DF265" s="753"/>
      <c r="DG265" s="753"/>
      <c r="DH265" s="753"/>
      <c r="DI265" s="753"/>
      <c r="DJ265" s="753"/>
      <c r="DK265" s="753"/>
      <c r="DL265" s="753"/>
      <c r="DM265" s="776"/>
    </row>
    <row r="266" spans="1:117" s="758" customFormat="1">
      <c r="A266" s="820"/>
      <c r="B266" s="753"/>
      <c r="C266" s="780"/>
      <c r="D266" s="780"/>
      <c r="E266" s="773"/>
      <c r="F266" s="773"/>
      <c r="G266" s="773"/>
      <c r="H266" s="788"/>
      <c r="I266" s="790"/>
      <c r="J266" s="1039"/>
      <c r="K266" s="1039"/>
      <c r="L266" s="1039"/>
      <c r="M266" s="1039"/>
      <c r="N266" s="1039"/>
      <c r="O266" s="1090"/>
      <c r="P266" s="1039"/>
      <c r="Q266" s="1039"/>
      <c r="R266" s="1039"/>
      <c r="S266" s="1039"/>
      <c r="T266" s="1039"/>
      <c r="U266" s="1039"/>
      <c r="V266" s="1039"/>
      <c r="W266" s="1039"/>
      <c r="X266" s="1039"/>
      <c r="Y266" s="1039"/>
      <c r="Z266" s="1039"/>
      <c r="AI266" s="1034"/>
      <c r="AJ266" s="1034"/>
      <c r="AK266" s="1034"/>
      <c r="AL266" s="1034"/>
      <c r="AM266" s="1034"/>
      <c r="AN266" s="1034"/>
      <c r="AO266" s="1034"/>
      <c r="CN266" s="753"/>
      <c r="CO266" s="753"/>
      <c r="CP266" s="753"/>
      <c r="CQ266" s="753"/>
      <c r="CR266" s="753"/>
      <c r="CS266" s="753"/>
      <c r="CT266" s="753"/>
      <c r="CU266" s="753"/>
      <c r="CV266" s="753"/>
      <c r="CW266" s="753"/>
      <c r="CX266" s="753"/>
      <c r="CY266" s="753"/>
      <c r="CZ266" s="753"/>
      <c r="DA266" s="753"/>
      <c r="DB266" s="753"/>
      <c r="DC266" s="753"/>
      <c r="DD266" s="753"/>
      <c r="DE266" s="753"/>
      <c r="DF266" s="753"/>
      <c r="DG266" s="753"/>
      <c r="DH266" s="753"/>
      <c r="DI266" s="753"/>
      <c r="DJ266" s="753"/>
      <c r="DK266" s="753"/>
      <c r="DL266" s="753"/>
      <c r="DM266" s="776"/>
    </row>
    <row r="267" spans="1:117" s="758" customFormat="1">
      <c r="A267" s="773"/>
      <c r="B267" s="819"/>
      <c r="C267" s="773"/>
      <c r="D267" s="804"/>
      <c r="E267" s="780"/>
      <c r="F267" s="753"/>
      <c r="G267" s="780"/>
      <c r="H267" s="788"/>
      <c r="I267" s="769"/>
      <c r="J267" s="1039"/>
      <c r="K267" s="1039"/>
      <c r="L267" s="1039"/>
      <c r="M267" s="1039"/>
      <c r="N267" s="1039"/>
      <c r="O267" s="1090"/>
      <c r="P267" s="1039"/>
      <c r="Q267" s="1039"/>
      <c r="R267" s="1039"/>
      <c r="S267" s="1039"/>
      <c r="T267" s="1039"/>
      <c r="U267" s="1039"/>
      <c r="V267" s="1039"/>
      <c r="W267" s="1039"/>
      <c r="X267" s="1039"/>
      <c r="Y267" s="1039"/>
      <c r="Z267" s="1039"/>
      <c r="AI267" s="1034"/>
      <c r="AJ267" s="1034"/>
      <c r="AK267" s="1034"/>
      <c r="AL267" s="1034"/>
      <c r="AM267" s="1034"/>
      <c r="AN267" s="1034"/>
      <c r="AO267" s="1034"/>
      <c r="CN267" s="753"/>
      <c r="CO267" s="753"/>
      <c r="CP267" s="753"/>
      <c r="CQ267" s="753"/>
      <c r="CR267" s="753"/>
      <c r="CS267" s="753"/>
      <c r="CT267" s="753"/>
      <c r="CU267" s="753"/>
      <c r="CV267" s="753"/>
      <c r="CW267" s="753"/>
      <c r="CX267" s="753"/>
      <c r="CY267" s="753"/>
      <c r="CZ267" s="753"/>
      <c r="DA267" s="753"/>
      <c r="DB267" s="753"/>
      <c r="DC267" s="753"/>
      <c r="DD267" s="753"/>
      <c r="DE267" s="753"/>
      <c r="DF267" s="753"/>
      <c r="DG267" s="753"/>
      <c r="DH267" s="753"/>
      <c r="DI267" s="753"/>
      <c r="DJ267" s="753"/>
      <c r="DK267" s="753"/>
      <c r="DL267" s="753"/>
      <c r="DM267" s="776"/>
    </row>
    <row r="268" spans="1:117" s="758" customFormat="1">
      <c r="A268" s="784"/>
      <c r="B268" s="774"/>
      <c r="C268" s="804"/>
      <c r="D268" s="804"/>
      <c r="E268" s="780"/>
      <c r="F268" s="753"/>
      <c r="G268" s="773"/>
      <c r="H268" s="788"/>
      <c r="I268" s="769"/>
      <c r="J268" s="1039"/>
      <c r="K268" s="1039"/>
      <c r="L268" s="1039"/>
      <c r="M268" s="1039"/>
      <c r="N268" s="1039"/>
      <c r="O268" s="1090"/>
      <c r="P268" s="1039"/>
      <c r="Q268" s="1039"/>
      <c r="R268" s="1039"/>
      <c r="S268" s="1039"/>
      <c r="T268" s="1039"/>
      <c r="U268" s="1039"/>
      <c r="V268" s="1039"/>
      <c r="W268" s="1039"/>
      <c r="X268" s="1039"/>
      <c r="Y268" s="1039"/>
      <c r="Z268" s="1039"/>
      <c r="AI268" s="1034"/>
      <c r="AJ268" s="1034"/>
      <c r="AK268" s="1034"/>
      <c r="AL268" s="1034"/>
      <c r="AM268" s="1034"/>
      <c r="AN268" s="1034"/>
      <c r="AO268" s="1034"/>
      <c r="CN268" s="753"/>
      <c r="CO268" s="753"/>
      <c r="CP268" s="753"/>
      <c r="CQ268" s="753"/>
      <c r="CR268" s="753"/>
      <c r="CS268" s="753"/>
      <c r="CT268" s="753"/>
      <c r="CU268" s="753"/>
      <c r="CV268" s="753"/>
      <c r="CW268" s="753"/>
      <c r="CX268" s="753"/>
      <c r="CY268" s="753"/>
      <c r="CZ268" s="753"/>
      <c r="DA268" s="753"/>
      <c r="DB268" s="753"/>
      <c r="DC268" s="753"/>
      <c r="DD268" s="753"/>
      <c r="DE268" s="753"/>
      <c r="DF268" s="753"/>
      <c r="DG268" s="753"/>
      <c r="DH268" s="753"/>
      <c r="DI268" s="753"/>
      <c r="DJ268" s="753"/>
      <c r="DK268" s="753"/>
      <c r="DL268" s="753"/>
      <c r="DM268" s="776"/>
    </row>
    <row r="269" spans="1:117" s="758" customFormat="1">
      <c r="A269" s="784"/>
      <c r="B269" s="774"/>
      <c r="C269" s="804"/>
      <c r="D269" s="804"/>
      <c r="E269" s="780"/>
      <c r="F269" s="753"/>
      <c r="G269" s="780"/>
      <c r="H269" s="780"/>
      <c r="I269" s="780"/>
      <c r="J269" s="1039"/>
      <c r="K269" s="1039"/>
      <c r="L269" s="1039"/>
      <c r="M269" s="1039"/>
      <c r="N269" s="1039"/>
      <c r="O269" s="1090"/>
      <c r="P269" s="1039"/>
      <c r="Q269" s="1039"/>
      <c r="R269" s="1039"/>
      <c r="S269" s="1039"/>
      <c r="T269" s="1039"/>
      <c r="U269" s="1039"/>
      <c r="V269" s="1039"/>
      <c r="W269" s="1039"/>
      <c r="X269" s="1039"/>
      <c r="Y269" s="1039"/>
      <c r="Z269" s="1039"/>
      <c r="AI269" s="1034"/>
      <c r="AJ269" s="1034"/>
      <c r="AK269" s="1034"/>
      <c r="AL269" s="1034"/>
      <c r="AM269" s="1034"/>
      <c r="AN269" s="1034"/>
      <c r="AO269" s="1034"/>
      <c r="CN269" s="753"/>
      <c r="CO269" s="753"/>
      <c r="CP269" s="753"/>
      <c r="CQ269" s="753"/>
      <c r="CR269" s="753"/>
      <c r="CS269" s="753"/>
      <c r="CT269" s="753"/>
      <c r="CU269" s="753"/>
      <c r="CV269" s="753"/>
      <c r="CW269" s="753"/>
      <c r="CX269" s="753"/>
      <c r="CY269" s="753"/>
      <c r="CZ269" s="753"/>
      <c r="DA269" s="753"/>
      <c r="DB269" s="753"/>
      <c r="DC269" s="753"/>
      <c r="DD269" s="753"/>
      <c r="DE269" s="753"/>
      <c r="DF269" s="753"/>
      <c r="DG269" s="753"/>
      <c r="DH269" s="753"/>
      <c r="DI269" s="753"/>
      <c r="DJ269" s="753"/>
      <c r="DK269" s="753"/>
      <c r="DL269" s="753"/>
      <c r="DM269" s="776"/>
    </row>
    <row r="270" spans="1:117" s="758" customFormat="1">
      <c r="A270" s="784"/>
      <c r="B270" s="780"/>
      <c r="C270" s="804"/>
      <c r="D270" s="804"/>
      <c r="E270" s="780"/>
      <c r="F270" s="780"/>
      <c r="G270" s="780"/>
      <c r="H270" s="821"/>
      <c r="I270" s="773"/>
      <c r="J270" s="1039"/>
      <c r="K270" s="1039"/>
      <c r="L270" s="1039"/>
      <c r="M270" s="1039"/>
      <c r="N270" s="1039"/>
      <c r="O270" s="1090"/>
      <c r="P270" s="1039"/>
      <c r="Q270" s="1039"/>
      <c r="R270" s="1039"/>
      <c r="S270" s="1039"/>
      <c r="T270" s="1039"/>
      <c r="U270" s="1039"/>
      <c r="V270" s="1039"/>
      <c r="W270" s="1039"/>
      <c r="X270" s="1039"/>
      <c r="Y270" s="1039"/>
      <c r="Z270" s="1039"/>
      <c r="AI270" s="1034"/>
      <c r="AJ270" s="1034"/>
      <c r="AK270" s="1034"/>
      <c r="AL270" s="1034"/>
      <c r="AM270" s="1034"/>
      <c r="AN270" s="1034"/>
      <c r="AO270" s="1034"/>
      <c r="CN270" s="753"/>
      <c r="CO270" s="753"/>
      <c r="CP270" s="753"/>
      <c r="CQ270" s="753"/>
      <c r="CR270" s="753"/>
      <c r="CS270" s="753"/>
      <c r="CT270" s="753"/>
      <c r="CU270" s="753"/>
      <c r="CV270" s="753"/>
      <c r="CW270" s="753"/>
      <c r="CX270" s="753"/>
      <c r="CY270" s="753"/>
      <c r="CZ270" s="753"/>
      <c r="DA270" s="753"/>
      <c r="DB270" s="753"/>
      <c r="DC270" s="753"/>
      <c r="DD270" s="753"/>
      <c r="DE270" s="753"/>
      <c r="DF270" s="753"/>
      <c r="DG270" s="753"/>
      <c r="DH270" s="753"/>
      <c r="DI270" s="753"/>
      <c r="DJ270" s="753"/>
      <c r="DK270" s="753"/>
      <c r="DL270" s="753"/>
      <c r="DM270" s="776"/>
    </row>
    <row r="271" spans="1:117" s="758" customFormat="1">
      <c r="A271" s="780"/>
      <c r="B271" s="773"/>
      <c r="C271" s="780"/>
      <c r="D271" s="780"/>
      <c r="E271" s="780"/>
      <c r="F271" s="780"/>
      <c r="G271" s="780"/>
      <c r="H271" s="780"/>
      <c r="I271" s="780"/>
      <c r="J271" s="1039"/>
      <c r="K271" s="1039"/>
      <c r="L271" s="1039"/>
      <c r="M271" s="1039"/>
      <c r="N271" s="1039"/>
      <c r="O271" s="1090"/>
      <c r="P271" s="1039"/>
      <c r="Q271" s="1039"/>
      <c r="R271" s="1039"/>
      <c r="S271" s="1039"/>
      <c r="T271" s="1039"/>
      <c r="U271" s="1039"/>
      <c r="V271" s="1039"/>
      <c r="W271" s="1039"/>
      <c r="X271" s="1039"/>
      <c r="Y271" s="1039"/>
      <c r="Z271" s="1039"/>
      <c r="AI271" s="1034"/>
      <c r="AJ271" s="1034"/>
      <c r="AK271" s="1034"/>
      <c r="AL271" s="1034"/>
      <c r="AM271" s="1034"/>
      <c r="AN271" s="1034"/>
      <c r="AO271" s="1034"/>
      <c r="CN271" s="753"/>
      <c r="CO271" s="753"/>
      <c r="CP271" s="753"/>
      <c r="CQ271" s="753"/>
      <c r="CR271" s="753"/>
      <c r="CS271" s="753"/>
      <c r="CT271" s="753"/>
      <c r="CU271" s="753"/>
      <c r="CV271" s="753"/>
      <c r="CW271" s="753"/>
      <c r="CX271" s="753"/>
      <c r="CY271" s="753"/>
      <c r="CZ271" s="753"/>
      <c r="DA271" s="753"/>
      <c r="DB271" s="753"/>
      <c r="DC271" s="753"/>
      <c r="DD271" s="753"/>
      <c r="DE271" s="753"/>
      <c r="DF271" s="753"/>
      <c r="DG271" s="753"/>
      <c r="DH271" s="753"/>
      <c r="DI271" s="753"/>
      <c r="DJ271" s="753"/>
      <c r="DK271" s="753"/>
      <c r="DL271" s="753"/>
      <c r="DM271" s="776"/>
    </row>
    <row r="272" spans="1:117" s="758" customFormat="1">
      <c r="A272" s="773"/>
      <c r="B272" s="819"/>
      <c r="C272" s="773"/>
      <c r="D272" s="804"/>
      <c r="E272" s="780"/>
      <c r="F272" s="780"/>
      <c r="G272" s="780"/>
      <c r="H272" s="780"/>
      <c r="I272" s="780"/>
      <c r="J272" s="1039"/>
      <c r="K272" s="1039"/>
      <c r="L272" s="1039"/>
      <c r="M272" s="1039"/>
      <c r="N272" s="1039"/>
      <c r="O272" s="1090"/>
      <c r="P272" s="1039"/>
      <c r="Q272" s="1039"/>
      <c r="R272" s="1039"/>
      <c r="S272" s="1039"/>
      <c r="T272" s="1039"/>
      <c r="U272" s="1039"/>
      <c r="V272" s="1039"/>
      <c r="W272" s="1039"/>
      <c r="X272" s="1039"/>
      <c r="Y272" s="1039"/>
      <c r="Z272" s="1039"/>
      <c r="AI272" s="1034"/>
      <c r="AJ272" s="1034"/>
      <c r="AK272" s="1034"/>
      <c r="AL272" s="1034"/>
      <c r="AM272" s="1034"/>
      <c r="AN272" s="1034"/>
      <c r="AO272" s="1034"/>
      <c r="CN272" s="753"/>
      <c r="CO272" s="753"/>
      <c r="CP272" s="753"/>
      <c r="CQ272" s="753"/>
      <c r="CR272" s="753"/>
      <c r="CS272" s="753"/>
      <c r="CT272" s="753"/>
      <c r="CU272" s="753"/>
      <c r="CV272" s="753"/>
      <c r="CW272" s="753"/>
      <c r="CX272" s="753"/>
      <c r="CY272" s="753"/>
      <c r="CZ272" s="753"/>
      <c r="DA272" s="753"/>
      <c r="DB272" s="753"/>
      <c r="DC272" s="753"/>
      <c r="DD272" s="753"/>
      <c r="DE272" s="753"/>
      <c r="DF272" s="753"/>
      <c r="DG272" s="753"/>
      <c r="DH272" s="753"/>
      <c r="DI272" s="753"/>
      <c r="DJ272" s="753"/>
      <c r="DK272" s="753"/>
      <c r="DL272" s="753"/>
      <c r="DM272" s="776"/>
    </row>
    <row r="273" spans="1:118" s="758" customFormat="1">
      <c r="A273" s="798"/>
      <c r="B273" s="774"/>
      <c r="C273" s="804"/>
      <c r="D273" s="804"/>
      <c r="E273" s="780"/>
      <c r="F273" s="780"/>
      <c r="G273" s="780"/>
      <c r="H273" s="780"/>
      <c r="I273" s="780"/>
      <c r="J273" s="1039"/>
      <c r="K273" s="1039"/>
      <c r="L273" s="1039"/>
      <c r="M273" s="1039"/>
      <c r="N273" s="1039"/>
      <c r="O273" s="1090"/>
      <c r="P273" s="1039"/>
      <c r="Q273" s="1039"/>
      <c r="R273" s="1039"/>
      <c r="S273" s="1039"/>
      <c r="T273" s="1039"/>
      <c r="U273" s="1039"/>
      <c r="V273" s="1039"/>
      <c r="W273" s="1039"/>
      <c r="X273" s="1039"/>
      <c r="Y273" s="1039"/>
      <c r="Z273" s="1039"/>
      <c r="AI273" s="1034"/>
      <c r="AJ273" s="1034"/>
      <c r="AK273" s="1034"/>
      <c r="AL273" s="1034"/>
      <c r="AM273" s="1034"/>
      <c r="AN273" s="1034"/>
      <c r="AO273" s="1034"/>
      <c r="CN273" s="753"/>
      <c r="CO273" s="753"/>
      <c r="CP273" s="753"/>
      <c r="CQ273" s="753"/>
      <c r="CR273" s="753"/>
      <c r="CS273" s="753"/>
      <c r="CT273" s="753"/>
      <c r="CU273" s="753"/>
      <c r="CV273" s="753"/>
      <c r="CW273" s="753"/>
      <c r="CX273" s="753"/>
      <c r="CY273" s="753"/>
      <c r="CZ273" s="753"/>
      <c r="DA273" s="753"/>
      <c r="DB273" s="753"/>
      <c r="DC273" s="753"/>
      <c r="DD273" s="753"/>
      <c r="DE273" s="753"/>
      <c r="DF273" s="753"/>
      <c r="DG273" s="753"/>
      <c r="DH273" s="753"/>
      <c r="DI273" s="753"/>
      <c r="DJ273" s="753"/>
      <c r="DK273" s="753"/>
      <c r="DL273" s="753"/>
      <c r="DM273" s="776"/>
    </row>
    <row r="274" spans="1:118" s="758" customFormat="1">
      <c r="A274" s="784"/>
      <c r="B274" s="819"/>
      <c r="C274" s="804"/>
      <c r="D274" s="804"/>
      <c r="E274" s="780"/>
      <c r="F274" s="780"/>
      <c r="G274" s="780"/>
      <c r="H274" s="780"/>
      <c r="I274" s="780"/>
      <c r="J274" s="1039"/>
      <c r="K274" s="1039"/>
      <c r="L274" s="1039"/>
      <c r="M274" s="1039"/>
      <c r="N274" s="1039"/>
      <c r="O274" s="1090"/>
      <c r="P274" s="1039"/>
      <c r="Q274" s="1039"/>
      <c r="R274" s="1039"/>
      <c r="S274" s="1039"/>
      <c r="T274" s="1039"/>
      <c r="U274" s="1039"/>
      <c r="V274" s="1039"/>
      <c r="W274" s="1039"/>
      <c r="X274" s="1039"/>
      <c r="Y274" s="1039"/>
      <c r="Z274" s="1039"/>
      <c r="AI274" s="1034"/>
      <c r="AJ274" s="1034"/>
      <c r="AK274" s="1034"/>
      <c r="AL274" s="1034"/>
      <c r="AM274" s="1034"/>
      <c r="AN274" s="1034"/>
      <c r="AO274" s="1034"/>
      <c r="CN274" s="753"/>
      <c r="CO274" s="753"/>
      <c r="CP274" s="753"/>
      <c r="CQ274" s="753"/>
      <c r="CR274" s="753"/>
      <c r="CS274" s="753"/>
      <c r="CT274" s="753"/>
      <c r="CU274" s="753"/>
      <c r="CV274" s="753"/>
      <c r="CW274" s="753"/>
      <c r="CX274" s="753"/>
      <c r="CY274" s="753"/>
      <c r="CZ274" s="753"/>
      <c r="DA274" s="753"/>
      <c r="DB274" s="753"/>
      <c r="DC274" s="753"/>
      <c r="DD274" s="753"/>
      <c r="DE274" s="753"/>
      <c r="DF274" s="753"/>
      <c r="DG274" s="753"/>
      <c r="DH274" s="753"/>
      <c r="DI274" s="753"/>
      <c r="DJ274" s="753"/>
      <c r="DK274" s="753"/>
      <c r="DL274" s="753"/>
      <c r="DM274" s="776"/>
    </row>
    <row r="275" spans="1:118" s="758" customFormat="1">
      <c r="A275" s="784"/>
      <c r="B275" s="819"/>
      <c r="C275" s="804"/>
      <c r="D275" s="804"/>
      <c r="E275" s="780"/>
      <c r="F275" s="780"/>
      <c r="G275" s="780"/>
      <c r="H275" s="780"/>
      <c r="I275" s="773"/>
      <c r="J275" s="1039"/>
      <c r="K275" s="1039"/>
      <c r="L275" s="1039"/>
      <c r="M275" s="1039"/>
      <c r="N275" s="1039"/>
      <c r="O275" s="1090"/>
      <c r="P275" s="1039"/>
      <c r="Q275" s="1039"/>
      <c r="R275" s="1039"/>
      <c r="S275" s="1039"/>
      <c r="T275" s="1039"/>
      <c r="U275" s="1039"/>
      <c r="V275" s="1039"/>
      <c r="W275" s="1039"/>
      <c r="X275" s="1039"/>
      <c r="Y275" s="1039"/>
      <c r="Z275" s="1039"/>
      <c r="AI275" s="1034"/>
      <c r="AJ275" s="1034"/>
      <c r="AK275" s="1034"/>
      <c r="AL275" s="1034"/>
      <c r="AM275" s="1034"/>
      <c r="AN275" s="1034"/>
      <c r="AO275" s="1034"/>
      <c r="CN275" s="753"/>
      <c r="CO275" s="753"/>
      <c r="CP275" s="753"/>
      <c r="CQ275" s="753"/>
      <c r="CR275" s="753"/>
      <c r="CS275" s="753"/>
      <c r="CT275" s="753"/>
      <c r="CU275" s="753"/>
      <c r="CV275" s="753"/>
      <c r="CW275" s="753"/>
      <c r="CX275" s="753"/>
      <c r="CY275" s="753"/>
      <c r="CZ275" s="753"/>
      <c r="DA275" s="753"/>
      <c r="DB275" s="753"/>
      <c r="DC275" s="753"/>
      <c r="DD275" s="753"/>
      <c r="DE275" s="753"/>
      <c r="DF275" s="753"/>
      <c r="DG275" s="753"/>
      <c r="DH275" s="753"/>
      <c r="DI275" s="753"/>
      <c r="DJ275" s="753"/>
      <c r="DK275" s="753"/>
      <c r="DL275" s="753"/>
      <c r="DM275" s="776"/>
    </row>
    <row r="276" spans="1:118" s="758" customFormat="1">
      <c r="A276" s="822"/>
      <c r="B276" s="819"/>
      <c r="C276" s="804"/>
      <c r="D276" s="805"/>
      <c r="E276" s="773"/>
      <c r="F276" s="780"/>
      <c r="G276" s="780"/>
      <c r="H276" s="801"/>
      <c r="I276" s="773"/>
      <c r="J276" s="1039"/>
      <c r="K276" s="1039"/>
      <c r="L276" s="1039"/>
      <c r="M276" s="1039"/>
      <c r="N276" s="1039"/>
      <c r="O276" s="1090"/>
      <c r="P276" s="1039"/>
      <c r="Q276" s="1039"/>
      <c r="R276" s="1039"/>
      <c r="S276" s="1039"/>
      <c r="T276" s="1039"/>
      <c r="U276" s="1039"/>
      <c r="V276" s="1039"/>
      <c r="W276" s="1039"/>
      <c r="X276" s="1039"/>
      <c r="Y276" s="1039"/>
      <c r="Z276" s="1039"/>
      <c r="AI276" s="1034"/>
      <c r="AJ276" s="1034"/>
      <c r="AK276" s="1034"/>
      <c r="AL276" s="1034"/>
      <c r="AM276" s="1034"/>
      <c r="AN276" s="1034"/>
      <c r="AO276" s="1034"/>
      <c r="CN276" s="753"/>
      <c r="CO276" s="753"/>
      <c r="CP276" s="753"/>
      <c r="CQ276" s="753"/>
      <c r="CR276" s="753"/>
      <c r="CS276" s="753"/>
      <c r="CT276" s="753"/>
      <c r="CU276" s="753"/>
      <c r="CV276" s="753"/>
      <c r="CW276" s="753"/>
      <c r="CX276" s="753"/>
      <c r="CY276" s="753"/>
      <c r="CZ276" s="753"/>
      <c r="DA276" s="753"/>
      <c r="DB276" s="753"/>
      <c r="DC276" s="753"/>
      <c r="DD276" s="753"/>
      <c r="DE276" s="753"/>
      <c r="DF276" s="753"/>
      <c r="DG276" s="753"/>
      <c r="DH276" s="753"/>
      <c r="DI276" s="753"/>
      <c r="DJ276" s="753"/>
      <c r="DK276" s="753"/>
      <c r="DL276" s="753"/>
      <c r="DM276" s="776"/>
    </row>
    <row r="277" spans="1:118" s="758" customFormat="1">
      <c r="A277" s="822"/>
      <c r="B277" s="780"/>
      <c r="C277" s="804"/>
      <c r="D277" s="805"/>
      <c r="E277" s="780"/>
      <c r="F277" s="780"/>
      <c r="G277" s="780"/>
      <c r="H277" s="780"/>
      <c r="I277" s="780"/>
      <c r="J277" s="1039"/>
      <c r="K277" s="1039"/>
      <c r="L277" s="1039"/>
      <c r="M277" s="1039"/>
      <c r="N277" s="1039"/>
      <c r="O277" s="1090"/>
      <c r="P277" s="1039"/>
      <c r="Q277" s="1039"/>
      <c r="R277" s="1039"/>
      <c r="S277" s="1039"/>
      <c r="T277" s="1039"/>
      <c r="U277" s="1039"/>
      <c r="V277" s="1039"/>
      <c r="W277" s="1039"/>
      <c r="X277" s="1039"/>
      <c r="Y277" s="1039"/>
      <c r="Z277" s="1039"/>
      <c r="AI277" s="1034"/>
      <c r="AJ277" s="1034"/>
      <c r="AK277" s="1034"/>
      <c r="AL277" s="1034"/>
      <c r="AM277" s="1034"/>
      <c r="AN277" s="1034"/>
      <c r="AO277" s="1034"/>
      <c r="CN277" s="753"/>
      <c r="CO277" s="753"/>
      <c r="CP277" s="753"/>
      <c r="CQ277" s="753"/>
      <c r="CR277" s="753"/>
      <c r="CS277" s="753"/>
      <c r="CT277" s="753"/>
      <c r="CU277" s="753"/>
      <c r="CV277" s="753"/>
      <c r="CW277" s="753"/>
      <c r="CX277" s="753"/>
      <c r="CY277" s="753"/>
      <c r="CZ277" s="753"/>
      <c r="DA277" s="753"/>
      <c r="DB277" s="753"/>
      <c r="DC277" s="753"/>
      <c r="DD277" s="753"/>
      <c r="DE277" s="753"/>
      <c r="DF277" s="753"/>
      <c r="DG277" s="753"/>
      <c r="DH277" s="753"/>
      <c r="DI277" s="753"/>
      <c r="DJ277" s="753"/>
      <c r="DK277" s="753"/>
      <c r="DL277" s="753"/>
      <c r="DM277" s="776"/>
    </row>
    <row r="278" spans="1:118" s="758" customFormat="1">
      <c r="A278" s="780"/>
      <c r="B278" s="780"/>
      <c r="C278" s="780"/>
      <c r="D278" s="780"/>
      <c r="E278" s="780"/>
      <c r="F278" s="780"/>
      <c r="G278" s="801"/>
      <c r="H278" s="780"/>
      <c r="I278" s="780"/>
      <c r="J278" s="1039"/>
      <c r="K278" s="1039"/>
      <c r="L278" s="1039"/>
      <c r="M278" s="1039"/>
      <c r="N278" s="1039"/>
      <c r="O278" s="1090"/>
      <c r="P278" s="1039"/>
      <c r="Q278" s="1039"/>
      <c r="R278" s="1039"/>
      <c r="S278" s="1039"/>
      <c r="T278" s="1039"/>
      <c r="U278" s="1039"/>
      <c r="V278" s="1039"/>
      <c r="W278" s="1039"/>
      <c r="X278" s="1039"/>
      <c r="Y278" s="1039"/>
      <c r="Z278" s="1039"/>
      <c r="AI278" s="1034"/>
      <c r="AJ278" s="1034"/>
      <c r="AK278" s="1034"/>
      <c r="AL278" s="1034"/>
      <c r="AM278" s="1034"/>
      <c r="AN278" s="1034"/>
      <c r="AO278" s="1034"/>
      <c r="CN278" s="753"/>
      <c r="CO278" s="753"/>
      <c r="CP278" s="753"/>
      <c r="CQ278" s="753"/>
      <c r="CR278" s="753"/>
      <c r="CS278" s="753"/>
      <c r="CT278" s="753"/>
      <c r="CU278" s="753"/>
      <c r="CV278" s="753"/>
      <c r="CW278" s="753"/>
      <c r="CX278" s="753"/>
      <c r="CY278" s="753"/>
      <c r="CZ278" s="753"/>
      <c r="DA278" s="753"/>
      <c r="DB278" s="753"/>
      <c r="DC278" s="753"/>
      <c r="DD278" s="753"/>
      <c r="DE278" s="753"/>
      <c r="DF278" s="753"/>
      <c r="DG278" s="753"/>
      <c r="DH278" s="753"/>
      <c r="DI278" s="753"/>
      <c r="DJ278" s="753"/>
      <c r="DK278" s="753"/>
      <c r="DL278" s="753"/>
      <c r="DM278" s="776"/>
    </row>
    <row r="279" spans="1:118" s="758" customFormat="1">
      <c r="A279" s="773"/>
      <c r="B279" s="774"/>
      <c r="C279" s="780"/>
      <c r="D279" s="780"/>
      <c r="E279" s="780"/>
      <c r="F279" s="801"/>
      <c r="G279" s="780"/>
      <c r="H279" s="780"/>
      <c r="I279" s="780"/>
      <c r="J279" s="1039"/>
      <c r="K279" s="1039"/>
      <c r="L279" s="1039"/>
      <c r="M279" s="1039"/>
      <c r="N279" s="1039"/>
      <c r="O279" s="1090"/>
      <c r="P279" s="1039"/>
      <c r="Q279" s="1039"/>
      <c r="R279" s="1039"/>
      <c r="S279" s="1039"/>
      <c r="T279" s="1039"/>
      <c r="U279" s="1039"/>
      <c r="V279" s="1039"/>
      <c r="W279" s="1039"/>
      <c r="X279" s="1039"/>
      <c r="Y279" s="1039"/>
      <c r="Z279" s="1039"/>
      <c r="AI279" s="1034"/>
      <c r="AJ279" s="1034"/>
      <c r="AK279" s="1034"/>
      <c r="AL279" s="1034"/>
      <c r="AM279" s="1034"/>
      <c r="AN279" s="1034"/>
      <c r="AO279" s="1034"/>
      <c r="CN279" s="753"/>
      <c r="CO279" s="753"/>
      <c r="CP279" s="753"/>
      <c r="CQ279" s="753"/>
      <c r="CR279" s="753"/>
      <c r="CS279" s="753"/>
      <c r="CT279" s="753"/>
      <c r="CU279" s="753"/>
      <c r="CV279" s="753"/>
      <c r="CW279" s="753"/>
      <c r="CX279" s="753"/>
      <c r="CY279" s="753"/>
      <c r="CZ279" s="753"/>
      <c r="DA279" s="753"/>
      <c r="DB279" s="753"/>
      <c r="DC279" s="753"/>
      <c r="DD279" s="753"/>
      <c r="DE279" s="753"/>
      <c r="DF279" s="753"/>
      <c r="DG279" s="753"/>
      <c r="DH279" s="753"/>
      <c r="DI279" s="753"/>
      <c r="DJ279" s="753"/>
      <c r="DK279" s="753"/>
      <c r="DL279" s="753"/>
      <c r="DM279" s="776"/>
    </row>
    <row r="280" spans="1:118" s="758" customFormat="1">
      <c r="A280" s="784"/>
      <c r="B280" s="774"/>
      <c r="C280" s="804"/>
      <c r="D280" s="804"/>
      <c r="E280" s="753"/>
      <c r="F280" s="780"/>
      <c r="G280" s="780"/>
      <c r="H280" s="780"/>
      <c r="I280" s="773"/>
      <c r="J280" s="1039"/>
      <c r="K280" s="1039"/>
      <c r="L280" s="1039"/>
      <c r="M280" s="1039"/>
      <c r="N280" s="1039"/>
      <c r="O280" s="1090"/>
      <c r="P280" s="1039"/>
      <c r="Q280" s="1039"/>
      <c r="R280" s="1039"/>
      <c r="S280" s="1039"/>
      <c r="T280" s="1039"/>
      <c r="U280" s="1039"/>
      <c r="V280" s="1039"/>
      <c r="W280" s="1039"/>
      <c r="X280" s="1039"/>
      <c r="Y280" s="1039"/>
      <c r="Z280" s="1039"/>
      <c r="AI280" s="1034"/>
      <c r="AJ280" s="1034"/>
      <c r="AK280" s="1034"/>
      <c r="AL280" s="1034"/>
      <c r="AM280" s="1034"/>
      <c r="AN280" s="1034"/>
      <c r="AO280" s="1034"/>
      <c r="CN280" s="753"/>
      <c r="CO280" s="753"/>
      <c r="CP280" s="753"/>
      <c r="CQ280" s="753"/>
      <c r="CR280" s="753"/>
      <c r="CS280" s="753"/>
      <c r="CT280" s="753"/>
      <c r="CU280" s="753"/>
      <c r="CV280" s="753"/>
      <c r="CW280" s="753"/>
      <c r="CX280" s="753"/>
      <c r="CY280" s="753"/>
      <c r="CZ280" s="753"/>
      <c r="DA280" s="753"/>
      <c r="DB280" s="753"/>
      <c r="DC280" s="753"/>
      <c r="DD280" s="753"/>
      <c r="DE280" s="753"/>
      <c r="DF280" s="753"/>
      <c r="DG280" s="753"/>
      <c r="DH280" s="753"/>
      <c r="DI280" s="753"/>
      <c r="DJ280" s="753"/>
      <c r="DK280" s="753"/>
      <c r="DL280" s="753"/>
      <c r="DM280" s="776"/>
    </row>
    <row r="281" spans="1:118" s="758" customFormat="1">
      <c r="A281" s="784"/>
      <c r="B281" s="780"/>
      <c r="C281" s="804"/>
      <c r="D281" s="804"/>
      <c r="E281" s="753"/>
      <c r="F281" s="753"/>
      <c r="G281" s="780"/>
      <c r="H281" s="821"/>
      <c r="I281" s="780"/>
      <c r="J281" s="1039"/>
      <c r="K281" s="1039"/>
      <c r="L281" s="1039"/>
      <c r="M281" s="1039"/>
      <c r="N281" s="1039"/>
      <c r="O281" s="1090"/>
      <c r="P281" s="1039"/>
      <c r="Q281" s="1039"/>
      <c r="R281" s="1039"/>
      <c r="S281" s="1039"/>
      <c r="T281" s="1039"/>
      <c r="U281" s="1039"/>
      <c r="V281" s="1039"/>
      <c r="W281" s="1039"/>
      <c r="X281" s="1039"/>
      <c r="Y281" s="1039"/>
      <c r="Z281" s="1039"/>
      <c r="AI281" s="1034"/>
      <c r="AJ281" s="1034"/>
      <c r="AK281" s="1034"/>
      <c r="AL281" s="1034"/>
      <c r="AM281" s="1034"/>
      <c r="AN281" s="1034"/>
      <c r="AO281" s="1034"/>
      <c r="CN281" s="753"/>
      <c r="CO281" s="753"/>
      <c r="CP281" s="753"/>
      <c r="CQ281" s="753"/>
      <c r="CR281" s="753"/>
      <c r="CS281" s="753"/>
      <c r="CT281" s="753"/>
      <c r="CU281" s="753"/>
      <c r="CV281" s="753"/>
      <c r="CW281" s="753"/>
      <c r="CX281" s="753"/>
      <c r="CY281" s="753"/>
      <c r="CZ281" s="753"/>
      <c r="DA281" s="753"/>
      <c r="DB281" s="753"/>
      <c r="DC281" s="753"/>
      <c r="DD281" s="753"/>
      <c r="DE281" s="753"/>
      <c r="DF281" s="753"/>
      <c r="DG281" s="753"/>
      <c r="DH281" s="753"/>
      <c r="DI281" s="753"/>
      <c r="DJ281" s="753"/>
      <c r="DK281" s="753"/>
      <c r="DL281" s="753"/>
      <c r="DM281" s="776"/>
    </row>
    <row r="282" spans="1:118" s="758" customFormat="1">
      <c r="A282" s="780"/>
      <c r="B282" s="773"/>
      <c r="C282" s="780"/>
      <c r="D282" s="780"/>
      <c r="E282" s="780"/>
      <c r="F282" s="780"/>
      <c r="G282" s="780"/>
      <c r="H282" s="780"/>
      <c r="I282" s="780"/>
      <c r="J282" s="1039"/>
      <c r="K282" s="1039"/>
      <c r="L282" s="1039"/>
      <c r="M282" s="1039"/>
      <c r="N282" s="1039"/>
      <c r="O282" s="1090"/>
      <c r="P282" s="1039"/>
      <c r="Q282" s="1039"/>
      <c r="R282" s="1039"/>
      <c r="S282" s="1039"/>
      <c r="T282" s="1039"/>
      <c r="U282" s="1039"/>
      <c r="V282" s="1039"/>
      <c r="W282" s="1039"/>
      <c r="X282" s="1039"/>
      <c r="Y282" s="1039"/>
      <c r="Z282" s="1039"/>
      <c r="AI282" s="1034"/>
      <c r="AJ282" s="1034"/>
      <c r="AK282" s="1034"/>
      <c r="AL282" s="1034"/>
      <c r="AM282" s="1034"/>
      <c r="AN282" s="1034"/>
      <c r="AO282" s="1034"/>
      <c r="CN282" s="753"/>
      <c r="CO282" s="753"/>
      <c r="CP282" s="753"/>
      <c r="CQ282" s="753"/>
      <c r="CR282" s="753"/>
      <c r="CS282" s="753"/>
      <c r="CT282" s="753"/>
      <c r="CU282" s="753"/>
      <c r="CV282" s="753"/>
      <c r="CW282" s="753"/>
      <c r="CX282" s="753"/>
      <c r="CY282" s="753"/>
      <c r="CZ282" s="753"/>
      <c r="DA282" s="753"/>
      <c r="DB282" s="753"/>
      <c r="DC282" s="753"/>
      <c r="DD282" s="753"/>
      <c r="DE282" s="753"/>
      <c r="DF282" s="753"/>
      <c r="DG282" s="753"/>
      <c r="DH282" s="753"/>
      <c r="DI282" s="753"/>
      <c r="DJ282" s="753"/>
      <c r="DK282" s="753"/>
      <c r="DL282" s="753"/>
      <c r="DM282" s="776"/>
    </row>
    <row r="283" spans="1:118" s="758" customFormat="1">
      <c r="A283" s="773"/>
      <c r="B283" s="768"/>
      <c r="C283" s="773"/>
      <c r="D283" s="804"/>
      <c r="E283" s="753"/>
      <c r="F283" s="753"/>
      <c r="G283" s="780"/>
      <c r="H283" s="780"/>
      <c r="I283" s="780"/>
      <c r="J283" s="1039"/>
      <c r="K283" s="1039"/>
      <c r="L283" s="1039"/>
      <c r="M283" s="1039"/>
      <c r="N283" s="1039"/>
      <c r="O283" s="1090"/>
      <c r="P283" s="1039"/>
      <c r="Q283" s="1039"/>
      <c r="R283" s="1039"/>
      <c r="S283" s="1039"/>
      <c r="T283" s="1039"/>
      <c r="U283" s="1039"/>
      <c r="V283" s="1039"/>
      <c r="W283" s="1039"/>
      <c r="X283" s="1039"/>
      <c r="Y283" s="1039"/>
      <c r="Z283" s="1039"/>
      <c r="AI283" s="1034"/>
      <c r="AJ283" s="1034"/>
      <c r="AK283" s="1034"/>
      <c r="AL283" s="1034"/>
      <c r="AM283" s="1034"/>
      <c r="AN283" s="1034"/>
      <c r="AO283" s="1034"/>
      <c r="CN283" s="753"/>
      <c r="CO283" s="753"/>
      <c r="CP283" s="753"/>
      <c r="CQ283" s="753"/>
      <c r="CR283" s="753"/>
      <c r="CS283" s="753"/>
      <c r="CT283" s="753"/>
      <c r="CU283" s="753"/>
      <c r="CV283" s="753"/>
      <c r="CW283" s="753"/>
      <c r="CX283" s="753"/>
      <c r="CY283" s="753"/>
      <c r="CZ283" s="753"/>
      <c r="DA283" s="753"/>
      <c r="DB283" s="753"/>
      <c r="DC283" s="753"/>
      <c r="DD283" s="753"/>
      <c r="DE283" s="753"/>
      <c r="DF283" s="753"/>
      <c r="DG283" s="753"/>
      <c r="DH283" s="753"/>
      <c r="DI283" s="753"/>
      <c r="DJ283" s="753"/>
      <c r="DK283" s="753"/>
      <c r="DL283" s="753"/>
      <c r="DM283" s="776"/>
      <c r="DN283" s="775"/>
    </row>
    <row r="284" spans="1:118" s="758" customFormat="1">
      <c r="A284" s="784"/>
      <c r="B284" s="774"/>
      <c r="C284" s="804"/>
      <c r="D284" s="804"/>
      <c r="E284" s="753"/>
      <c r="F284" s="753"/>
      <c r="G284" s="780"/>
      <c r="H284" s="780"/>
      <c r="I284" s="780"/>
      <c r="J284" s="1039"/>
      <c r="K284" s="1039"/>
      <c r="L284" s="1039"/>
      <c r="M284" s="1039"/>
      <c r="N284" s="1039"/>
      <c r="O284" s="1090"/>
      <c r="P284" s="1039"/>
      <c r="Q284" s="1039"/>
      <c r="R284" s="1039"/>
      <c r="S284" s="1039"/>
      <c r="T284" s="1039"/>
      <c r="U284" s="1039"/>
      <c r="V284" s="1039"/>
      <c r="W284" s="1039"/>
      <c r="X284" s="1039"/>
      <c r="Y284" s="1039"/>
      <c r="Z284" s="1039"/>
      <c r="AI284" s="1034"/>
      <c r="AJ284" s="1034"/>
      <c r="AK284" s="1034"/>
      <c r="AL284" s="1034"/>
      <c r="AM284" s="1034"/>
      <c r="AN284" s="1034"/>
      <c r="AO284" s="1034"/>
      <c r="CN284" s="753"/>
      <c r="CO284" s="753"/>
      <c r="CP284" s="753"/>
      <c r="CQ284" s="753"/>
      <c r="CR284" s="753"/>
      <c r="CS284" s="753"/>
      <c r="CT284" s="753"/>
      <c r="CU284" s="753"/>
      <c r="CV284" s="753"/>
      <c r="CW284" s="753"/>
      <c r="CX284" s="753"/>
      <c r="CY284" s="753"/>
      <c r="CZ284" s="753"/>
      <c r="DA284" s="753"/>
      <c r="DB284" s="753"/>
      <c r="DC284" s="753"/>
      <c r="DD284" s="753"/>
      <c r="DE284" s="753"/>
      <c r="DF284" s="753"/>
      <c r="DG284" s="753"/>
      <c r="DH284" s="753"/>
      <c r="DI284" s="753"/>
      <c r="DJ284" s="753"/>
      <c r="DK284" s="753"/>
      <c r="DL284" s="753"/>
      <c r="DM284" s="776"/>
      <c r="DN284" s="775"/>
    </row>
    <row r="285" spans="1:118" s="758" customFormat="1">
      <c r="A285" s="784"/>
      <c r="B285" s="774"/>
      <c r="C285" s="804"/>
      <c r="D285" s="804"/>
      <c r="E285" s="753"/>
      <c r="F285" s="753"/>
      <c r="G285" s="780"/>
      <c r="H285" s="780"/>
      <c r="I285" s="780"/>
      <c r="J285" s="1039"/>
      <c r="K285" s="1039"/>
      <c r="L285" s="1039"/>
      <c r="M285" s="1039"/>
      <c r="N285" s="1039"/>
      <c r="O285" s="1090"/>
      <c r="P285" s="1039"/>
      <c r="Q285" s="1039"/>
      <c r="R285" s="1039"/>
      <c r="S285" s="1039"/>
      <c r="T285" s="1039"/>
      <c r="U285" s="1039"/>
      <c r="V285" s="1039"/>
      <c r="W285" s="1039"/>
      <c r="X285" s="1039"/>
      <c r="Y285" s="1039"/>
      <c r="Z285" s="1039"/>
      <c r="AI285" s="1034"/>
      <c r="AJ285" s="1034"/>
      <c r="AK285" s="1034"/>
      <c r="AL285" s="1034"/>
      <c r="AM285" s="1034"/>
      <c r="AN285" s="1034"/>
      <c r="AO285" s="1034"/>
      <c r="CN285" s="753"/>
      <c r="CO285" s="753"/>
      <c r="CP285" s="753"/>
      <c r="CQ285" s="753"/>
      <c r="CR285" s="753"/>
      <c r="CS285" s="753"/>
      <c r="CT285" s="753"/>
      <c r="CU285" s="753"/>
      <c r="CV285" s="753"/>
      <c r="CW285" s="753"/>
      <c r="CX285" s="753"/>
      <c r="CY285" s="753"/>
      <c r="CZ285" s="753"/>
      <c r="DA285" s="753"/>
      <c r="DB285" s="753"/>
      <c r="DC285" s="753"/>
      <c r="DD285" s="753"/>
      <c r="DE285" s="753"/>
      <c r="DF285" s="753"/>
      <c r="DG285" s="753"/>
      <c r="DH285" s="753"/>
      <c r="DI285" s="753"/>
      <c r="DJ285" s="753"/>
      <c r="DK285" s="753"/>
      <c r="DL285" s="753"/>
      <c r="DM285" s="776"/>
      <c r="DN285" s="775"/>
    </row>
    <row r="286" spans="1:118" s="758" customFormat="1">
      <c r="A286" s="784"/>
      <c r="B286" s="774"/>
      <c r="C286" s="804"/>
      <c r="D286" s="804"/>
      <c r="E286" s="753"/>
      <c r="F286" s="753"/>
      <c r="G286" s="780"/>
      <c r="H286" s="780"/>
      <c r="I286" s="780"/>
      <c r="J286" s="1039"/>
      <c r="K286" s="1039"/>
      <c r="L286" s="1039"/>
      <c r="M286" s="1039"/>
      <c r="N286" s="1039"/>
      <c r="O286" s="1090"/>
      <c r="P286" s="1039"/>
      <c r="Q286" s="1039"/>
      <c r="R286" s="1039"/>
      <c r="S286" s="1039"/>
      <c r="T286" s="1039"/>
      <c r="U286" s="1039"/>
      <c r="V286" s="1039"/>
      <c r="W286" s="1039"/>
      <c r="X286" s="1039"/>
      <c r="Y286" s="1039"/>
      <c r="Z286" s="1039"/>
      <c r="AI286" s="1034"/>
      <c r="AJ286" s="1034"/>
      <c r="AK286" s="1034"/>
      <c r="AL286" s="1034"/>
      <c r="AM286" s="1034"/>
      <c r="AN286" s="1034"/>
      <c r="AO286" s="1034"/>
      <c r="CN286" s="753"/>
      <c r="CO286" s="753"/>
      <c r="CP286" s="753"/>
      <c r="CQ286" s="753"/>
      <c r="CR286" s="753"/>
      <c r="CS286" s="753"/>
      <c r="CT286" s="753"/>
      <c r="CU286" s="753"/>
      <c r="CV286" s="753"/>
      <c r="CW286" s="753"/>
      <c r="CX286" s="753"/>
      <c r="CY286" s="753"/>
      <c r="CZ286" s="753"/>
      <c r="DA286" s="753"/>
      <c r="DB286" s="753"/>
      <c r="DC286" s="753"/>
      <c r="DD286" s="753"/>
      <c r="DE286" s="753"/>
      <c r="DF286" s="753"/>
      <c r="DG286" s="753"/>
      <c r="DH286" s="753"/>
      <c r="DI286" s="753"/>
      <c r="DJ286" s="753"/>
      <c r="DK286" s="753"/>
      <c r="DL286" s="753"/>
      <c r="DM286" s="776"/>
      <c r="DN286" s="775"/>
    </row>
    <row r="287" spans="1:118" s="758" customFormat="1">
      <c r="A287" s="784"/>
      <c r="B287" s="780"/>
      <c r="C287" s="804"/>
      <c r="D287" s="804"/>
      <c r="E287" s="753"/>
      <c r="F287" s="753"/>
      <c r="G287" s="780"/>
      <c r="H287" s="821"/>
      <c r="I287" s="780"/>
      <c r="J287" s="1039"/>
      <c r="K287" s="1039"/>
      <c r="L287" s="1039"/>
      <c r="M287" s="1039"/>
      <c r="N287" s="1039"/>
      <c r="O287" s="1090"/>
      <c r="P287" s="1039"/>
      <c r="Q287" s="1039"/>
      <c r="R287" s="1039"/>
      <c r="S287" s="1039"/>
      <c r="T287" s="1039"/>
      <c r="U287" s="1039"/>
      <c r="V287" s="1039"/>
      <c r="W287" s="1039"/>
      <c r="X287" s="1039"/>
      <c r="Y287" s="1039"/>
      <c r="Z287" s="1039"/>
      <c r="AI287" s="1034"/>
      <c r="AJ287" s="1034"/>
      <c r="AK287" s="1034"/>
      <c r="AL287" s="1034"/>
      <c r="AM287" s="1034"/>
      <c r="AN287" s="1034"/>
      <c r="AO287" s="1034"/>
      <c r="CN287" s="753"/>
      <c r="CO287" s="753"/>
      <c r="CP287" s="753"/>
      <c r="CQ287" s="753"/>
      <c r="CR287" s="753"/>
      <c r="CS287" s="753"/>
      <c r="CT287" s="753"/>
      <c r="CU287" s="753"/>
      <c r="CV287" s="753"/>
      <c r="CW287" s="753"/>
      <c r="CX287" s="753"/>
      <c r="CY287" s="753"/>
      <c r="CZ287" s="753"/>
      <c r="DA287" s="753"/>
      <c r="DB287" s="753"/>
      <c r="DC287" s="753"/>
      <c r="DD287" s="753"/>
      <c r="DE287" s="753"/>
      <c r="DF287" s="753"/>
      <c r="DG287" s="753"/>
      <c r="DH287" s="753"/>
      <c r="DI287" s="753"/>
      <c r="DJ287" s="753"/>
      <c r="DK287" s="753"/>
      <c r="DL287" s="753"/>
      <c r="DM287" s="776"/>
      <c r="DN287" s="775"/>
    </row>
    <row r="288" spans="1:118" s="758" customFormat="1">
      <c r="A288" s="780"/>
      <c r="B288" s="780"/>
      <c r="C288" s="780"/>
      <c r="D288" s="780"/>
      <c r="E288" s="780"/>
      <c r="F288" s="780"/>
      <c r="G288" s="780"/>
      <c r="H288" s="780"/>
      <c r="I288" s="780"/>
      <c r="J288" s="1039"/>
      <c r="K288" s="1039"/>
      <c r="L288" s="1039"/>
      <c r="M288" s="1039"/>
      <c r="N288" s="1039"/>
      <c r="O288" s="1090"/>
      <c r="P288" s="1039"/>
      <c r="Q288" s="1039"/>
      <c r="R288" s="1039"/>
      <c r="S288" s="1039"/>
      <c r="T288" s="1039"/>
      <c r="U288" s="1039"/>
      <c r="V288" s="1039"/>
      <c r="W288" s="1039"/>
      <c r="X288" s="1039"/>
      <c r="Y288" s="1039"/>
      <c r="Z288" s="1039"/>
      <c r="AI288" s="1034"/>
      <c r="AJ288" s="1034"/>
      <c r="AK288" s="1034"/>
      <c r="AL288" s="1034"/>
      <c r="AM288" s="1034"/>
      <c r="AN288" s="1034"/>
      <c r="AO288" s="1034"/>
      <c r="CN288" s="753"/>
      <c r="CO288" s="753"/>
      <c r="CP288" s="753"/>
      <c r="CQ288" s="753"/>
      <c r="CR288" s="753"/>
      <c r="CS288" s="753"/>
      <c r="CT288" s="753"/>
      <c r="CU288" s="753"/>
      <c r="CV288" s="753"/>
      <c r="CW288" s="753"/>
      <c r="CX288" s="753"/>
      <c r="CY288" s="753"/>
      <c r="CZ288" s="753"/>
      <c r="DA288" s="753"/>
      <c r="DB288" s="753"/>
      <c r="DC288" s="753"/>
      <c r="DD288" s="753"/>
      <c r="DE288" s="753"/>
      <c r="DF288" s="753"/>
      <c r="DG288" s="753"/>
      <c r="DH288" s="753"/>
      <c r="DI288" s="753"/>
      <c r="DJ288" s="753"/>
      <c r="DK288" s="753"/>
      <c r="DL288" s="753"/>
      <c r="DM288" s="776"/>
      <c r="DN288" s="775"/>
    </row>
    <row r="289" spans="1:118" s="758" customFormat="1">
      <c r="A289" s="780"/>
      <c r="B289" s="780"/>
      <c r="C289" s="780"/>
      <c r="D289" s="780"/>
      <c r="E289" s="780"/>
      <c r="F289" s="780"/>
      <c r="G289" s="780"/>
      <c r="H289" s="780"/>
      <c r="I289" s="780"/>
      <c r="J289" s="1039"/>
      <c r="K289" s="1039"/>
      <c r="L289" s="1039"/>
      <c r="M289" s="1039"/>
      <c r="N289" s="1039"/>
      <c r="O289" s="1090"/>
      <c r="P289" s="1039"/>
      <c r="Q289" s="1039"/>
      <c r="R289" s="1039"/>
      <c r="S289" s="1039"/>
      <c r="T289" s="1039"/>
      <c r="U289" s="1039"/>
      <c r="V289" s="1039"/>
      <c r="W289" s="1039"/>
      <c r="X289" s="1039"/>
      <c r="Y289" s="1039"/>
      <c r="Z289" s="1039"/>
      <c r="AI289" s="1034"/>
      <c r="AJ289" s="1034"/>
      <c r="AK289" s="1034"/>
      <c r="AL289" s="1034"/>
      <c r="AM289" s="1034"/>
      <c r="AN289" s="1034"/>
      <c r="AO289" s="1034"/>
      <c r="CN289" s="753"/>
      <c r="CO289" s="753"/>
      <c r="CP289" s="753"/>
      <c r="CQ289" s="753"/>
      <c r="CR289" s="753"/>
      <c r="CS289" s="753"/>
      <c r="CT289" s="753"/>
      <c r="CU289" s="753"/>
      <c r="CV289" s="753"/>
      <c r="CW289" s="753"/>
      <c r="CX289" s="753"/>
      <c r="CY289" s="753"/>
      <c r="CZ289" s="753"/>
      <c r="DA289" s="753"/>
      <c r="DB289" s="753"/>
      <c r="DC289" s="753"/>
      <c r="DD289" s="753"/>
      <c r="DE289" s="753"/>
      <c r="DF289" s="753"/>
      <c r="DG289" s="753"/>
      <c r="DH289" s="753"/>
      <c r="DI289" s="753"/>
      <c r="DJ289" s="753"/>
      <c r="DK289" s="753"/>
      <c r="DL289" s="753"/>
      <c r="DM289" s="776"/>
      <c r="DN289" s="775"/>
    </row>
    <row r="290" spans="1:118" s="758" customFormat="1">
      <c r="A290" s="792"/>
      <c r="B290" s="780"/>
      <c r="C290" s="780"/>
      <c r="D290" s="780"/>
      <c r="E290" s="780"/>
      <c r="F290" s="780"/>
      <c r="G290" s="780"/>
      <c r="H290" s="780"/>
      <c r="I290" s="780"/>
      <c r="J290" s="1039"/>
      <c r="K290" s="1039"/>
      <c r="L290" s="1039"/>
      <c r="M290" s="1039"/>
      <c r="N290" s="1039"/>
      <c r="O290" s="1090"/>
      <c r="P290" s="1039"/>
      <c r="Q290" s="1039"/>
      <c r="R290" s="1039"/>
      <c r="S290" s="1039"/>
      <c r="T290" s="1039"/>
      <c r="U290" s="1039"/>
      <c r="V290" s="1039"/>
      <c r="W290" s="1039"/>
      <c r="X290" s="1039"/>
      <c r="Y290" s="1039"/>
      <c r="Z290" s="1039"/>
      <c r="AI290" s="1034"/>
      <c r="AJ290" s="1034"/>
      <c r="AK290" s="1034"/>
      <c r="AL290" s="1034"/>
      <c r="AM290" s="1034"/>
      <c r="AN290" s="1034"/>
      <c r="AO290" s="1034"/>
      <c r="CN290" s="753"/>
      <c r="CO290" s="753"/>
      <c r="CP290" s="753"/>
      <c r="CQ290" s="753"/>
      <c r="CR290" s="753"/>
      <c r="CS290" s="753"/>
      <c r="CT290" s="753"/>
      <c r="CU290" s="753"/>
      <c r="CV290" s="753"/>
      <c r="CW290" s="753"/>
      <c r="CX290" s="753"/>
      <c r="CY290" s="753"/>
      <c r="CZ290" s="753"/>
      <c r="DA290" s="753"/>
      <c r="DB290" s="753"/>
      <c r="DC290" s="753"/>
      <c r="DD290" s="753"/>
      <c r="DE290" s="753"/>
      <c r="DF290" s="753"/>
      <c r="DG290" s="753"/>
      <c r="DH290" s="753"/>
      <c r="DI290" s="753"/>
      <c r="DJ290" s="753"/>
      <c r="DK290" s="753"/>
      <c r="DL290" s="753"/>
      <c r="DM290" s="776"/>
      <c r="DN290" s="775"/>
    </row>
    <row r="291" spans="1:118" s="758" customFormat="1">
      <c r="A291" s="780"/>
      <c r="B291" s="780"/>
      <c r="C291" s="780"/>
      <c r="D291" s="780"/>
      <c r="E291" s="780"/>
      <c r="F291" s="780"/>
      <c r="G291" s="780"/>
      <c r="H291" s="780"/>
      <c r="I291" s="780"/>
      <c r="J291" s="1039"/>
      <c r="K291" s="1039"/>
      <c r="L291" s="1039"/>
      <c r="M291" s="1039"/>
      <c r="N291" s="1039"/>
      <c r="O291" s="1090"/>
      <c r="P291" s="1039"/>
      <c r="Q291" s="1039"/>
      <c r="R291" s="1039"/>
      <c r="S291" s="1039"/>
      <c r="T291" s="1039"/>
      <c r="U291" s="1039"/>
      <c r="V291" s="1039"/>
      <c r="W291" s="1039"/>
      <c r="X291" s="1039"/>
      <c r="Y291" s="1039"/>
      <c r="Z291" s="1039"/>
      <c r="AI291" s="1034"/>
      <c r="AJ291" s="1034"/>
      <c r="AK291" s="1034"/>
      <c r="AL291" s="1034"/>
      <c r="AM291" s="1034"/>
      <c r="AN291" s="1034"/>
      <c r="AO291" s="1034"/>
      <c r="CN291" s="753"/>
      <c r="CO291" s="753"/>
      <c r="CP291" s="753"/>
      <c r="CQ291" s="753"/>
      <c r="CR291" s="753"/>
      <c r="CS291" s="753"/>
      <c r="CT291" s="753"/>
      <c r="CU291" s="753"/>
      <c r="CV291" s="753"/>
      <c r="CW291" s="753"/>
      <c r="CX291" s="753"/>
      <c r="CY291" s="753"/>
      <c r="CZ291" s="753"/>
      <c r="DA291" s="753"/>
      <c r="DB291" s="753"/>
      <c r="DC291" s="753"/>
      <c r="DD291" s="753"/>
      <c r="DE291" s="753"/>
      <c r="DF291" s="753"/>
      <c r="DG291" s="753"/>
      <c r="DH291" s="753"/>
      <c r="DI291" s="753"/>
      <c r="DJ291" s="753"/>
      <c r="DK291" s="753"/>
      <c r="DL291" s="753"/>
      <c r="DM291" s="776"/>
      <c r="DN291" s="775"/>
    </row>
    <row r="292" spans="1:118" s="758" customFormat="1">
      <c r="A292" s="780"/>
      <c r="B292" s="780"/>
      <c r="C292" s="780"/>
      <c r="D292" s="780"/>
      <c r="E292" s="780"/>
      <c r="F292" s="780"/>
      <c r="G292" s="780"/>
      <c r="H292" s="780"/>
      <c r="I292" s="780"/>
      <c r="J292" s="1039"/>
      <c r="K292" s="1039"/>
      <c r="L292" s="1039"/>
      <c r="M292" s="1039"/>
      <c r="N292" s="1039"/>
      <c r="O292" s="1090"/>
      <c r="P292" s="1039"/>
      <c r="Q292" s="1039"/>
      <c r="R292" s="1039"/>
      <c r="S292" s="1039"/>
      <c r="T292" s="1039"/>
      <c r="U292" s="1039"/>
      <c r="V292" s="1039"/>
      <c r="W292" s="1039"/>
      <c r="X292" s="1039"/>
      <c r="Y292" s="1039"/>
      <c r="Z292" s="1039"/>
      <c r="AI292" s="1034"/>
      <c r="AJ292" s="1034"/>
      <c r="AK292" s="1034"/>
      <c r="AL292" s="1034"/>
      <c r="AM292" s="1034"/>
      <c r="AN292" s="1034"/>
      <c r="AO292" s="1034"/>
      <c r="CN292" s="753"/>
      <c r="CO292" s="753"/>
      <c r="CP292" s="753"/>
      <c r="CQ292" s="753"/>
      <c r="CR292" s="753"/>
      <c r="CS292" s="753"/>
      <c r="CT292" s="753"/>
      <c r="CU292" s="753"/>
      <c r="CV292" s="753"/>
      <c r="CW292" s="753"/>
      <c r="CX292" s="753"/>
      <c r="CY292" s="753"/>
      <c r="CZ292" s="753"/>
      <c r="DA292" s="753"/>
      <c r="DB292" s="753"/>
      <c r="DC292" s="753"/>
      <c r="DD292" s="753"/>
      <c r="DE292" s="753"/>
      <c r="DF292" s="753"/>
      <c r="DG292" s="753"/>
      <c r="DH292" s="753"/>
      <c r="DI292" s="753"/>
      <c r="DJ292" s="753"/>
      <c r="DK292" s="753"/>
      <c r="DL292" s="753"/>
      <c r="DM292" s="776"/>
      <c r="DN292" s="775"/>
    </row>
    <row r="293" spans="1:118" s="758" customFormat="1">
      <c r="A293" s="780"/>
      <c r="B293" s="780"/>
      <c r="C293" s="780"/>
      <c r="D293" s="780"/>
      <c r="E293" s="780"/>
      <c r="F293" s="780"/>
      <c r="G293" s="780"/>
      <c r="H293" s="780"/>
      <c r="I293" s="780"/>
      <c r="J293" s="1039"/>
      <c r="K293" s="1039"/>
      <c r="L293" s="1039"/>
      <c r="M293" s="1039"/>
      <c r="N293" s="1039"/>
      <c r="O293" s="1090"/>
      <c r="P293" s="1039"/>
      <c r="Q293" s="1039"/>
      <c r="R293" s="1039"/>
      <c r="S293" s="1039"/>
      <c r="T293" s="1039"/>
      <c r="U293" s="1039"/>
      <c r="V293" s="1039"/>
      <c r="W293" s="1039"/>
      <c r="X293" s="1039"/>
      <c r="Y293" s="1039"/>
      <c r="Z293" s="1039"/>
      <c r="AI293" s="1034"/>
      <c r="AJ293" s="1034"/>
      <c r="AK293" s="1034"/>
      <c r="AL293" s="1034"/>
      <c r="AM293" s="1034"/>
      <c r="AN293" s="1034"/>
      <c r="AO293" s="1034"/>
      <c r="CN293" s="753"/>
      <c r="CO293" s="753"/>
      <c r="CP293" s="753"/>
      <c r="CQ293" s="753"/>
      <c r="CR293" s="753"/>
      <c r="CS293" s="753"/>
      <c r="CT293" s="753"/>
      <c r="CU293" s="753"/>
      <c r="CV293" s="753"/>
      <c r="CW293" s="753"/>
      <c r="CX293" s="753"/>
      <c r="CY293" s="753"/>
      <c r="CZ293" s="753"/>
      <c r="DA293" s="753"/>
      <c r="DB293" s="753"/>
      <c r="DC293" s="753"/>
      <c r="DD293" s="753"/>
      <c r="DE293" s="753"/>
      <c r="DF293" s="753"/>
      <c r="DG293" s="753"/>
      <c r="DH293" s="753"/>
      <c r="DI293" s="753"/>
      <c r="DJ293" s="753"/>
      <c r="DK293" s="753"/>
      <c r="DL293" s="753"/>
      <c r="DM293" s="776"/>
      <c r="DN293" s="775"/>
    </row>
    <row r="294" spans="1:118" s="758" customFormat="1">
      <c r="A294" s="780"/>
      <c r="B294" s="780"/>
      <c r="C294" s="780"/>
      <c r="D294" s="780"/>
      <c r="E294" s="780"/>
      <c r="F294" s="780"/>
      <c r="G294" s="780"/>
      <c r="H294" s="780"/>
      <c r="I294" s="780"/>
      <c r="J294" s="1039"/>
      <c r="K294" s="1039"/>
      <c r="L294" s="1039"/>
      <c r="M294" s="1039"/>
      <c r="N294" s="1039"/>
      <c r="O294" s="1090"/>
      <c r="P294" s="1039"/>
      <c r="Q294" s="1039"/>
      <c r="R294" s="1039"/>
      <c r="S294" s="1039"/>
      <c r="T294" s="1039"/>
      <c r="U294" s="1039"/>
      <c r="V294" s="1039"/>
      <c r="W294" s="1039"/>
      <c r="X294" s="1039"/>
      <c r="Y294" s="1039"/>
      <c r="Z294" s="1039"/>
      <c r="AI294" s="1034"/>
      <c r="AJ294" s="1034"/>
      <c r="AK294" s="1034"/>
      <c r="AL294" s="1034"/>
      <c r="AM294" s="1034"/>
      <c r="AN294" s="1034"/>
      <c r="AO294" s="1034"/>
      <c r="CN294" s="753"/>
      <c r="CO294" s="753"/>
      <c r="CP294" s="753"/>
      <c r="CQ294" s="753"/>
      <c r="CR294" s="753"/>
      <c r="CS294" s="753"/>
      <c r="CT294" s="753"/>
      <c r="CU294" s="753"/>
      <c r="CV294" s="753"/>
      <c r="CW294" s="753"/>
      <c r="CX294" s="753"/>
      <c r="CY294" s="753"/>
      <c r="CZ294" s="753"/>
      <c r="DA294" s="753"/>
      <c r="DB294" s="753"/>
      <c r="DC294" s="753"/>
      <c r="DD294" s="753"/>
      <c r="DE294" s="753"/>
      <c r="DF294" s="753"/>
      <c r="DG294" s="753"/>
      <c r="DH294" s="753"/>
      <c r="DI294" s="753"/>
      <c r="DJ294" s="753"/>
      <c r="DK294" s="753"/>
      <c r="DL294" s="753"/>
      <c r="DM294" s="776"/>
      <c r="DN294" s="775"/>
    </row>
    <row r="295" spans="1:118" s="758" customFormat="1">
      <c r="A295" s="780"/>
      <c r="B295" s="780"/>
      <c r="C295" s="780"/>
      <c r="D295" s="780"/>
      <c r="E295" s="780"/>
      <c r="F295" s="780"/>
      <c r="G295" s="780"/>
      <c r="H295" s="780"/>
      <c r="I295" s="780"/>
      <c r="J295" s="1039"/>
      <c r="K295" s="1039"/>
      <c r="L295" s="1039"/>
      <c r="M295" s="1039"/>
      <c r="N295" s="1039"/>
      <c r="O295" s="1090"/>
      <c r="P295" s="1039"/>
      <c r="Q295" s="1039"/>
      <c r="R295" s="1039"/>
      <c r="S295" s="1039"/>
      <c r="T295" s="1039"/>
      <c r="U295" s="1039"/>
      <c r="V295" s="1039"/>
      <c r="W295" s="1039"/>
      <c r="X295" s="1039"/>
      <c r="Y295" s="1039"/>
      <c r="Z295" s="1039"/>
      <c r="AI295" s="1034"/>
      <c r="AJ295" s="1034"/>
      <c r="AK295" s="1034"/>
      <c r="AL295" s="1034"/>
      <c r="AM295" s="1034"/>
      <c r="AN295" s="1034"/>
      <c r="AO295" s="1034"/>
      <c r="CN295" s="753"/>
      <c r="CO295" s="753"/>
      <c r="CP295" s="753"/>
      <c r="CQ295" s="753"/>
      <c r="CR295" s="753"/>
      <c r="CS295" s="753"/>
      <c r="CT295" s="753"/>
      <c r="CU295" s="753"/>
      <c r="CV295" s="753"/>
      <c r="CW295" s="753"/>
      <c r="CX295" s="753"/>
      <c r="CY295" s="753"/>
      <c r="CZ295" s="753"/>
      <c r="DA295" s="753"/>
      <c r="DB295" s="753"/>
      <c r="DC295" s="753"/>
      <c r="DD295" s="753"/>
      <c r="DE295" s="753"/>
      <c r="DF295" s="753"/>
      <c r="DG295" s="753"/>
      <c r="DH295" s="753"/>
      <c r="DI295" s="753"/>
      <c r="DJ295" s="753"/>
      <c r="DK295" s="753"/>
      <c r="DL295" s="753"/>
      <c r="DM295" s="776"/>
      <c r="DN295" s="775"/>
    </row>
    <row r="296" spans="1:118" s="758" customFormat="1">
      <c r="A296" s="780"/>
      <c r="B296" s="780"/>
      <c r="C296" s="780"/>
      <c r="D296" s="780"/>
      <c r="E296" s="780"/>
      <c r="F296" s="780"/>
      <c r="G296" s="780"/>
      <c r="H296" s="780"/>
      <c r="I296" s="780"/>
      <c r="J296" s="1039"/>
      <c r="K296" s="1039"/>
      <c r="L296" s="1039"/>
      <c r="M296" s="1039"/>
      <c r="N296" s="1039"/>
      <c r="O296" s="1090"/>
      <c r="P296" s="1039"/>
      <c r="Q296" s="1039"/>
      <c r="R296" s="1039"/>
      <c r="S296" s="1039"/>
      <c r="T296" s="1039"/>
      <c r="U296" s="1039"/>
      <c r="V296" s="1039"/>
      <c r="W296" s="1039"/>
      <c r="X296" s="1039"/>
      <c r="Y296" s="1039"/>
      <c r="Z296" s="1039"/>
      <c r="AI296" s="1034"/>
      <c r="AJ296" s="1034"/>
      <c r="AK296" s="1034"/>
      <c r="AL296" s="1034"/>
      <c r="AM296" s="1034"/>
      <c r="AN296" s="1034"/>
      <c r="AO296" s="1034"/>
      <c r="CN296" s="753"/>
      <c r="CO296" s="753"/>
      <c r="CP296" s="753"/>
      <c r="CQ296" s="753"/>
      <c r="CR296" s="753"/>
      <c r="CS296" s="753"/>
      <c r="CT296" s="753"/>
      <c r="CU296" s="753"/>
      <c r="CV296" s="753"/>
      <c r="CW296" s="753"/>
      <c r="CX296" s="753"/>
      <c r="CY296" s="753"/>
      <c r="CZ296" s="753"/>
      <c r="DA296" s="753"/>
      <c r="DB296" s="753"/>
      <c r="DC296" s="753"/>
      <c r="DD296" s="753"/>
      <c r="DE296" s="753"/>
      <c r="DF296" s="753"/>
      <c r="DG296" s="753"/>
      <c r="DH296" s="753"/>
      <c r="DI296" s="753"/>
      <c r="DJ296" s="753"/>
      <c r="DK296" s="753"/>
      <c r="DL296" s="753"/>
      <c r="DM296" s="776"/>
      <c r="DN296" s="775"/>
    </row>
    <row r="297" spans="1:118" s="758" customFormat="1">
      <c r="A297" s="780"/>
      <c r="B297" s="780"/>
      <c r="C297" s="780"/>
      <c r="D297" s="780"/>
      <c r="E297" s="780"/>
      <c r="F297" s="780"/>
      <c r="G297" s="780"/>
      <c r="H297" s="780"/>
      <c r="I297" s="780"/>
      <c r="J297" s="1039"/>
      <c r="K297" s="1039"/>
      <c r="L297" s="1039"/>
      <c r="M297" s="1039"/>
      <c r="N297" s="1039"/>
      <c r="O297" s="1090"/>
      <c r="P297" s="1039"/>
      <c r="Q297" s="1039"/>
      <c r="R297" s="1039"/>
      <c r="S297" s="1039"/>
      <c r="T297" s="1039"/>
      <c r="U297" s="1039"/>
      <c r="V297" s="1039"/>
      <c r="W297" s="1039"/>
      <c r="X297" s="1039"/>
      <c r="Y297" s="1039"/>
      <c r="Z297" s="1039"/>
      <c r="AI297" s="1034"/>
      <c r="AJ297" s="1034"/>
      <c r="AK297" s="1034"/>
      <c r="AL297" s="1034"/>
      <c r="AM297" s="1034"/>
      <c r="AN297" s="1034"/>
      <c r="AO297" s="1034"/>
      <c r="CN297" s="753"/>
      <c r="CO297" s="753"/>
      <c r="CP297" s="753"/>
      <c r="CQ297" s="753"/>
      <c r="CR297" s="753"/>
      <c r="CS297" s="753"/>
      <c r="CT297" s="753"/>
      <c r="CU297" s="753"/>
      <c r="CV297" s="753"/>
      <c r="CW297" s="753"/>
      <c r="CX297" s="753"/>
      <c r="CY297" s="753"/>
      <c r="CZ297" s="753"/>
      <c r="DA297" s="753"/>
      <c r="DB297" s="753"/>
      <c r="DC297" s="753"/>
      <c r="DD297" s="753"/>
      <c r="DE297" s="753"/>
      <c r="DF297" s="753"/>
      <c r="DG297" s="753"/>
      <c r="DH297" s="753"/>
      <c r="DI297" s="753"/>
      <c r="DJ297" s="753"/>
      <c r="DK297" s="753"/>
      <c r="DL297" s="753"/>
      <c r="DM297" s="776"/>
      <c r="DN297" s="775"/>
    </row>
    <row r="298" spans="1:118" s="758" customFormat="1">
      <c r="A298" s="780"/>
      <c r="B298" s="780"/>
      <c r="C298" s="780"/>
      <c r="D298" s="780"/>
      <c r="E298" s="780"/>
      <c r="F298" s="780"/>
      <c r="G298" s="780"/>
      <c r="H298" s="780"/>
      <c r="I298" s="780"/>
      <c r="J298" s="1039"/>
      <c r="K298" s="1039"/>
      <c r="L298" s="1039"/>
      <c r="M298" s="1039"/>
      <c r="N298" s="1039"/>
      <c r="O298" s="1090"/>
      <c r="P298" s="1039"/>
      <c r="Q298" s="1039"/>
      <c r="R298" s="1039"/>
      <c r="S298" s="1039"/>
      <c r="T298" s="1039"/>
      <c r="U298" s="1039"/>
      <c r="V298" s="1039"/>
      <c r="W298" s="1039"/>
      <c r="X298" s="1039"/>
      <c r="Y298" s="1039"/>
      <c r="Z298" s="1039"/>
      <c r="AI298" s="1034"/>
      <c r="AJ298" s="1034"/>
      <c r="AK298" s="1034"/>
      <c r="AL298" s="1034"/>
      <c r="AM298" s="1034"/>
      <c r="AN298" s="1034"/>
      <c r="AO298" s="1034"/>
      <c r="CN298" s="753"/>
      <c r="CO298" s="753"/>
      <c r="CP298" s="753"/>
      <c r="CQ298" s="753"/>
      <c r="CR298" s="753"/>
      <c r="CS298" s="753"/>
      <c r="CT298" s="753"/>
      <c r="CU298" s="753"/>
      <c r="CV298" s="753"/>
      <c r="CW298" s="753"/>
      <c r="CX298" s="753"/>
      <c r="CY298" s="753"/>
      <c r="CZ298" s="753"/>
      <c r="DA298" s="753"/>
      <c r="DB298" s="753"/>
      <c r="DC298" s="753"/>
      <c r="DD298" s="753"/>
      <c r="DE298" s="753"/>
      <c r="DF298" s="753"/>
      <c r="DG298" s="753"/>
      <c r="DH298" s="753"/>
      <c r="DI298" s="753"/>
      <c r="DJ298" s="753"/>
      <c r="DK298" s="753"/>
      <c r="DL298" s="753"/>
      <c r="DM298" s="776"/>
      <c r="DN298" s="775"/>
    </row>
    <row r="299" spans="1:118" s="758" customFormat="1">
      <c r="A299" s="780"/>
      <c r="B299" s="780"/>
      <c r="C299" s="780"/>
      <c r="D299" s="780"/>
      <c r="E299" s="780"/>
      <c r="F299" s="780"/>
      <c r="G299" s="780"/>
      <c r="H299" s="780"/>
      <c r="I299" s="780"/>
      <c r="J299" s="1039"/>
      <c r="K299" s="1039"/>
      <c r="L299" s="1039"/>
      <c r="M299" s="1039"/>
      <c r="N299" s="1039"/>
      <c r="O299" s="1090"/>
      <c r="P299" s="1039"/>
      <c r="Q299" s="1039"/>
      <c r="R299" s="1039"/>
      <c r="S299" s="1039"/>
      <c r="T299" s="1039"/>
      <c r="U299" s="1039"/>
      <c r="V299" s="1039"/>
      <c r="W299" s="1039"/>
      <c r="X299" s="1039"/>
      <c r="Y299" s="1039"/>
      <c r="Z299" s="1039"/>
      <c r="AI299" s="1034"/>
      <c r="AJ299" s="1034"/>
      <c r="AK299" s="1034"/>
      <c r="AL299" s="1034"/>
      <c r="AM299" s="1034"/>
      <c r="AN299" s="1034"/>
      <c r="AO299" s="1034"/>
      <c r="CN299" s="753"/>
      <c r="CO299" s="753"/>
      <c r="CP299" s="753"/>
      <c r="CQ299" s="753"/>
      <c r="CR299" s="753"/>
      <c r="CS299" s="753"/>
      <c r="CT299" s="753"/>
      <c r="CU299" s="753"/>
      <c r="CV299" s="753"/>
      <c r="CW299" s="753"/>
      <c r="CX299" s="753"/>
      <c r="CY299" s="753"/>
      <c r="CZ299" s="753"/>
      <c r="DA299" s="753"/>
      <c r="DB299" s="753"/>
      <c r="DC299" s="753"/>
      <c r="DD299" s="753"/>
      <c r="DE299" s="753"/>
      <c r="DF299" s="753"/>
      <c r="DG299" s="753"/>
      <c r="DH299" s="753"/>
      <c r="DI299" s="753"/>
      <c r="DJ299" s="753"/>
      <c r="DK299" s="753"/>
      <c r="DL299" s="753"/>
      <c r="DM299" s="776"/>
      <c r="DN299" s="775"/>
    </row>
    <row r="300" spans="1:118" s="758" customFormat="1">
      <c r="A300" s="780"/>
      <c r="B300" s="780"/>
      <c r="C300" s="780"/>
      <c r="D300" s="780"/>
      <c r="E300" s="780"/>
      <c r="F300" s="780"/>
      <c r="G300" s="780"/>
      <c r="H300" s="780"/>
      <c r="I300" s="780"/>
      <c r="J300" s="1039"/>
      <c r="K300" s="1039"/>
      <c r="L300" s="1039"/>
      <c r="M300" s="1039"/>
      <c r="N300" s="1039"/>
      <c r="O300" s="1090"/>
      <c r="P300" s="1039"/>
      <c r="Q300" s="1039"/>
      <c r="R300" s="1039"/>
      <c r="S300" s="1039"/>
      <c r="T300" s="1039"/>
      <c r="U300" s="1039"/>
      <c r="V300" s="1039"/>
      <c r="W300" s="1039"/>
      <c r="X300" s="1039"/>
      <c r="Y300" s="1039"/>
      <c r="Z300" s="1039"/>
      <c r="AI300" s="1034"/>
      <c r="AJ300" s="1034"/>
      <c r="AK300" s="1034"/>
      <c r="AL300" s="1034"/>
      <c r="AM300" s="1034"/>
      <c r="AN300" s="1034"/>
      <c r="AO300" s="1034"/>
      <c r="CN300" s="753"/>
      <c r="CO300" s="753"/>
      <c r="CP300" s="753"/>
      <c r="CQ300" s="753"/>
      <c r="CR300" s="753"/>
      <c r="CS300" s="753"/>
      <c r="CT300" s="753"/>
      <c r="CU300" s="753"/>
      <c r="CV300" s="753"/>
      <c r="CW300" s="753"/>
      <c r="CX300" s="753"/>
      <c r="CY300" s="753"/>
      <c r="CZ300" s="753"/>
      <c r="DA300" s="753"/>
      <c r="DB300" s="753"/>
      <c r="DC300" s="753"/>
      <c r="DD300" s="753"/>
      <c r="DE300" s="753"/>
      <c r="DF300" s="753"/>
      <c r="DG300" s="753"/>
      <c r="DH300" s="753"/>
      <c r="DI300" s="753"/>
      <c r="DJ300" s="753"/>
      <c r="DK300" s="753"/>
      <c r="DL300" s="753"/>
      <c r="DM300" s="776"/>
      <c r="DN300" s="775"/>
    </row>
    <row r="301" spans="1:118" s="758" customFormat="1">
      <c r="A301" s="780"/>
      <c r="B301" s="780"/>
      <c r="C301" s="780"/>
      <c r="D301" s="780"/>
      <c r="E301" s="780"/>
      <c r="F301" s="780"/>
      <c r="G301" s="780"/>
      <c r="H301" s="780"/>
      <c r="I301" s="780"/>
      <c r="J301" s="1039"/>
      <c r="K301" s="1039"/>
      <c r="L301" s="1039"/>
      <c r="M301" s="1039"/>
      <c r="N301" s="1039"/>
      <c r="O301" s="1090"/>
      <c r="P301" s="1039"/>
      <c r="Q301" s="1039"/>
      <c r="R301" s="1039"/>
      <c r="S301" s="1039"/>
      <c r="T301" s="1039"/>
      <c r="U301" s="1039"/>
      <c r="V301" s="1039"/>
      <c r="W301" s="1039"/>
      <c r="X301" s="1039"/>
      <c r="Y301" s="1039"/>
      <c r="Z301" s="1039"/>
      <c r="AI301" s="1034"/>
      <c r="AJ301" s="1034"/>
      <c r="AK301" s="1034"/>
      <c r="AL301" s="1034"/>
      <c r="AM301" s="1034"/>
      <c r="AN301" s="1034"/>
      <c r="AO301" s="1034"/>
      <c r="CN301" s="753"/>
      <c r="CO301" s="753"/>
      <c r="CP301" s="753"/>
      <c r="CQ301" s="753"/>
      <c r="CR301" s="753"/>
      <c r="CS301" s="753"/>
      <c r="CT301" s="753"/>
      <c r="CU301" s="753"/>
      <c r="CV301" s="753"/>
      <c r="CW301" s="753"/>
      <c r="CX301" s="753"/>
      <c r="CY301" s="753"/>
      <c r="CZ301" s="753"/>
      <c r="DA301" s="753"/>
      <c r="DB301" s="753"/>
      <c r="DC301" s="753"/>
      <c r="DD301" s="753"/>
      <c r="DE301" s="753"/>
      <c r="DF301" s="753"/>
      <c r="DG301" s="753"/>
      <c r="DH301" s="753"/>
      <c r="DI301" s="753"/>
      <c r="DJ301" s="753"/>
      <c r="DK301" s="753"/>
      <c r="DL301" s="753"/>
      <c r="DM301" s="776"/>
      <c r="DN301" s="775"/>
    </row>
    <row r="302" spans="1:118" s="758" customFormat="1">
      <c r="A302" s="780"/>
      <c r="B302" s="780"/>
      <c r="C302" s="780"/>
      <c r="D302" s="780"/>
      <c r="E302" s="780"/>
      <c r="F302" s="780"/>
      <c r="G302" s="780"/>
      <c r="H302" s="780"/>
      <c r="I302" s="780"/>
      <c r="J302" s="1039"/>
      <c r="K302" s="1039"/>
      <c r="L302" s="1039"/>
      <c r="M302" s="1039"/>
      <c r="N302" s="1039"/>
      <c r="O302" s="1090"/>
      <c r="P302" s="1039"/>
      <c r="Q302" s="1039"/>
      <c r="R302" s="1039"/>
      <c r="S302" s="1039"/>
      <c r="T302" s="1039"/>
      <c r="U302" s="1039"/>
      <c r="V302" s="1039"/>
      <c r="W302" s="1039"/>
      <c r="X302" s="1039"/>
      <c r="Y302" s="1039"/>
      <c r="Z302" s="1039"/>
      <c r="AI302" s="1034"/>
      <c r="AJ302" s="1034"/>
      <c r="AK302" s="1034"/>
      <c r="AL302" s="1034"/>
      <c r="AM302" s="1034"/>
      <c r="AN302" s="1034"/>
      <c r="AO302" s="1034"/>
      <c r="CN302" s="753"/>
      <c r="CO302" s="753"/>
      <c r="CP302" s="753"/>
      <c r="CQ302" s="753"/>
      <c r="CR302" s="753"/>
      <c r="CS302" s="753"/>
      <c r="CT302" s="753"/>
      <c r="CU302" s="753"/>
      <c r="CV302" s="753"/>
      <c r="CW302" s="753"/>
      <c r="CX302" s="753"/>
      <c r="CY302" s="753"/>
      <c r="CZ302" s="753"/>
      <c r="DA302" s="753"/>
      <c r="DB302" s="753"/>
      <c r="DC302" s="753"/>
      <c r="DD302" s="753"/>
      <c r="DE302" s="753"/>
      <c r="DF302" s="753"/>
      <c r="DG302" s="753"/>
      <c r="DH302" s="753"/>
      <c r="DI302" s="753"/>
      <c r="DJ302" s="753"/>
      <c r="DK302" s="753"/>
      <c r="DL302" s="753"/>
      <c r="DM302" s="776"/>
      <c r="DN302" s="775"/>
    </row>
    <row r="303" spans="1:118" s="758" customFormat="1">
      <c r="A303" s="780"/>
      <c r="B303" s="780"/>
      <c r="C303" s="780"/>
      <c r="D303" s="780"/>
      <c r="E303" s="780"/>
      <c r="F303" s="780"/>
      <c r="G303" s="780"/>
      <c r="H303" s="780"/>
      <c r="I303" s="780"/>
      <c r="J303" s="1039"/>
      <c r="K303" s="1039"/>
      <c r="L303" s="1039"/>
      <c r="M303" s="1039"/>
      <c r="N303" s="1039"/>
      <c r="O303" s="1090"/>
      <c r="P303" s="1039"/>
      <c r="Q303" s="1039"/>
      <c r="R303" s="1039"/>
      <c r="S303" s="1039"/>
      <c r="T303" s="1039"/>
      <c r="U303" s="1039"/>
      <c r="V303" s="1039"/>
      <c r="W303" s="1039"/>
      <c r="X303" s="1039"/>
      <c r="Y303" s="1039"/>
      <c r="Z303" s="1039"/>
      <c r="AI303" s="1034"/>
      <c r="AJ303" s="1034"/>
      <c r="AK303" s="1034"/>
      <c r="AL303" s="1034"/>
      <c r="AM303" s="1034"/>
      <c r="AN303" s="1034"/>
      <c r="AO303" s="1034"/>
      <c r="CN303" s="753"/>
      <c r="CO303" s="753"/>
      <c r="CP303" s="753"/>
      <c r="CQ303" s="753"/>
      <c r="CR303" s="753"/>
      <c r="CS303" s="753"/>
      <c r="CT303" s="753"/>
      <c r="CU303" s="753"/>
      <c r="CV303" s="753"/>
      <c r="CW303" s="753"/>
      <c r="CX303" s="753"/>
      <c r="CY303" s="753"/>
      <c r="CZ303" s="753"/>
      <c r="DA303" s="753"/>
      <c r="DB303" s="753"/>
      <c r="DC303" s="753"/>
      <c r="DD303" s="753"/>
      <c r="DE303" s="753"/>
      <c r="DF303" s="753"/>
      <c r="DG303" s="753"/>
      <c r="DH303" s="753"/>
      <c r="DI303" s="753"/>
      <c r="DJ303" s="753"/>
      <c r="DK303" s="753"/>
      <c r="DL303" s="753"/>
      <c r="DM303" s="776"/>
      <c r="DN303" s="775"/>
    </row>
    <row r="304" spans="1:118" s="758" customFormat="1">
      <c r="A304" s="780"/>
      <c r="B304" s="780"/>
      <c r="C304" s="780"/>
      <c r="D304" s="780"/>
      <c r="E304" s="780"/>
      <c r="F304" s="780"/>
      <c r="G304" s="780"/>
      <c r="H304" s="780"/>
      <c r="I304" s="780"/>
      <c r="J304" s="1039"/>
      <c r="K304" s="1039"/>
      <c r="L304" s="1039"/>
      <c r="M304" s="1039"/>
      <c r="N304" s="1039"/>
      <c r="O304" s="1090"/>
      <c r="P304" s="1039"/>
      <c r="Q304" s="1039"/>
      <c r="R304" s="1039"/>
      <c r="S304" s="1039"/>
      <c r="T304" s="1039"/>
      <c r="U304" s="1039"/>
      <c r="V304" s="1039"/>
      <c r="W304" s="1039"/>
      <c r="X304" s="1039"/>
      <c r="Y304" s="1039"/>
      <c r="Z304" s="1039"/>
      <c r="AI304" s="1034"/>
      <c r="AJ304" s="1034"/>
      <c r="AK304" s="1034"/>
      <c r="AL304" s="1034"/>
      <c r="AM304" s="1034"/>
      <c r="AN304" s="1034"/>
      <c r="AO304" s="1034"/>
      <c r="CN304" s="753"/>
      <c r="CO304" s="753"/>
      <c r="CP304" s="753"/>
      <c r="CQ304" s="753"/>
      <c r="CR304" s="753"/>
      <c r="CS304" s="753"/>
      <c r="CT304" s="753"/>
      <c r="CU304" s="753"/>
      <c r="CV304" s="753"/>
      <c r="CW304" s="753"/>
      <c r="CX304" s="753"/>
      <c r="CY304" s="753"/>
      <c r="CZ304" s="753"/>
      <c r="DA304" s="753"/>
      <c r="DB304" s="753"/>
      <c r="DC304" s="753"/>
      <c r="DD304" s="753"/>
      <c r="DE304" s="753"/>
      <c r="DF304" s="753"/>
      <c r="DG304" s="753"/>
      <c r="DH304" s="753"/>
      <c r="DI304" s="753"/>
      <c r="DJ304" s="753"/>
      <c r="DK304" s="753"/>
      <c r="DL304" s="753"/>
      <c r="DM304" s="776"/>
      <c r="DN304" s="775"/>
    </row>
    <row r="305" spans="1:118" s="758" customFormat="1">
      <c r="A305" s="780"/>
      <c r="B305" s="780"/>
      <c r="C305" s="780"/>
      <c r="D305" s="780"/>
      <c r="E305" s="780"/>
      <c r="F305" s="780"/>
      <c r="G305" s="780"/>
      <c r="H305" s="780"/>
      <c r="I305" s="780"/>
      <c r="J305" s="1039"/>
      <c r="K305" s="1039"/>
      <c r="L305" s="1039"/>
      <c r="M305" s="1039"/>
      <c r="N305" s="1039"/>
      <c r="O305" s="1090"/>
      <c r="P305" s="1039"/>
      <c r="Q305" s="1039"/>
      <c r="R305" s="1039"/>
      <c r="S305" s="1039"/>
      <c r="T305" s="1039"/>
      <c r="U305" s="1039"/>
      <c r="V305" s="1039"/>
      <c r="W305" s="1039"/>
      <c r="X305" s="1039"/>
      <c r="Y305" s="1039"/>
      <c r="Z305" s="1039"/>
      <c r="AI305" s="1034"/>
      <c r="AJ305" s="1034"/>
      <c r="AK305" s="1034"/>
      <c r="AL305" s="1034"/>
      <c r="AM305" s="1034"/>
      <c r="AN305" s="1034"/>
      <c r="AO305" s="1034"/>
      <c r="CN305" s="753"/>
      <c r="CO305" s="753"/>
      <c r="CP305" s="753"/>
      <c r="CQ305" s="753"/>
      <c r="CR305" s="753"/>
      <c r="CS305" s="753"/>
      <c r="CT305" s="753"/>
      <c r="CU305" s="753"/>
      <c r="CV305" s="753"/>
      <c r="CW305" s="753"/>
      <c r="CX305" s="753"/>
      <c r="CY305" s="753"/>
      <c r="CZ305" s="753"/>
      <c r="DA305" s="753"/>
      <c r="DB305" s="753"/>
      <c r="DC305" s="753"/>
      <c r="DD305" s="753"/>
      <c r="DE305" s="753"/>
      <c r="DF305" s="753"/>
      <c r="DG305" s="753"/>
      <c r="DH305" s="753"/>
      <c r="DI305" s="753"/>
      <c r="DJ305" s="753"/>
      <c r="DK305" s="753"/>
      <c r="DL305" s="753"/>
      <c r="DM305" s="776"/>
      <c r="DN305" s="775"/>
    </row>
    <row r="306" spans="1:118" s="758" customFormat="1">
      <c r="A306" s="780"/>
      <c r="B306" s="780"/>
      <c r="C306" s="780"/>
      <c r="D306" s="780"/>
      <c r="E306" s="780"/>
      <c r="F306" s="780"/>
      <c r="G306" s="780"/>
      <c r="H306" s="780"/>
      <c r="I306" s="780"/>
      <c r="J306" s="1039"/>
      <c r="K306" s="1039"/>
      <c r="L306" s="1039"/>
      <c r="M306" s="1039"/>
      <c r="N306" s="1039"/>
      <c r="O306" s="1090"/>
      <c r="P306" s="1039"/>
      <c r="Q306" s="1039"/>
      <c r="R306" s="1039"/>
      <c r="S306" s="1039"/>
      <c r="T306" s="1039"/>
      <c r="U306" s="1039"/>
      <c r="V306" s="1039"/>
      <c r="W306" s="1039"/>
      <c r="X306" s="1039"/>
      <c r="Y306" s="1039"/>
      <c r="Z306" s="1039"/>
      <c r="AI306" s="1034"/>
      <c r="AJ306" s="1034"/>
      <c r="AK306" s="1034"/>
      <c r="AL306" s="1034"/>
      <c r="AM306" s="1034"/>
      <c r="AN306" s="1034"/>
      <c r="AO306" s="1034"/>
      <c r="CN306" s="753"/>
      <c r="CO306" s="753"/>
      <c r="CP306" s="753"/>
      <c r="CQ306" s="753"/>
      <c r="CR306" s="753"/>
      <c r="CS306" s="753"/>
      <c r="CT306" s="753"/>
      <c r="CU306" s="753"/>
      <c r="CV306" s="753"/>
      <c r="CW306" s="753"/>
      <c r="CX306" s="753"/>
      <c r="CY306" s="753"/>
      <c r="CZ306" s="753"/>
      <c r="DA306" s="753"/>
      <c r="DB306" s="753"/>
      <c r="DC306" s="753"/>
      <c r="DD306" s="753"/>
      <c r="DE306" s="753"/>
      <c r="DF306" s="753"/>
      <c r="DG306" s="753"/>
      <c r="DH306" s="753"/>
      <c r="DI306" s="753"/>
      <c r="DJ306" s="753"/>
      <c r="DK306" s="753"/>
      <c r="DL306" s="753"/>
      <c r="DM306" s="776"/>
      <c r="DN306" s="775"/>
    </row>
    <row r="307" spans="1:118" s="758" customFormat="1">
      <c r="A307" s="780"/>
      <c r="B307" s="780"/>
      <c r="C307" s="780"/>
      <c r="D307" s="780"/>
      <c r="E307" s="780"/>
      <c r="F307" s="780"/>
      <c r="G307" s="780"/>
      <c r="H307" s="780"/>
      <c r="I307" s="780"/>
      <c r="J307" s="1039"/>
      <c r="K307" s="1039"/>
      <c r="L307" s="1039"/>
      <c r="M307" s="1039"/>
      <c r="N307" s="1039"/>
      <c r="O307" s="1090"/>
      <c r="P307" s="1039"/>
      <c r="Q307" s="1039"/>
      <c r="R307" s="1039"/>
      <c r="S307" s="1039"/>
      <c r="T307" s="1039"/>
      <c r="U307" s="1039"/>
      <c r="V307" s="1039"/>
      <c r="W307" s="1039"/>
      <c r="X307" s="1039"/>
      <c r="Y307" s="1039"/>
      <c r="Z307" s="1039"/>
      <c r="AI307" s="1034"/>
      <c r="AJ307" s="1034"/>
      <c r="AK307" s="1034"/>
      <c r="AL307" s="1034"/>
      <c r="AM307" s="1034"/>
      <c r="AN307" s="1034"/>
      <c r="AO307" s="1034"/>
      <c r="CN307" s="753"/>
      <c r="CO307" s="753"/>
      <c r="CP307" s="753"/>
      <c r="CQ307" s="753"/>
      <c r="CR307" s="753"/>
      <c r="CS307" s="753"/>
      <c r="CT307" s="753"/>
      <c r="CU307" s="753"/>
      <c r="CV307" s="753"/>
      <c r="CW307" s="753"/>
      <c r="CX307" s="753"/>
      <c r="CY307" s="753"/>
      <c r="CZ307" s="753"/>
      <c r="DA307" s="753"/>
      <c r="DB307" s="753"/>
      <c r="DC307" s="753"/>
      <c r="DD307" s="753"/>
      <c r="DE307" s="753"/>
      <c r="DF307" s="753"/>
      <c r="DG307" s="753"/>
      <c r="DH307" s="753"/>
      <c r="DI307" s="753"/>
      <c r="DJ307" s="753"/>
      <c r="DK307" s="753"/>
      <c r="DL307" s="753"/>
      <c r="DM307" s="776"/>
      <c r="DN307" s="775"/>
    </row>
    <row r="308" spans="1:118" s="758" customFormat="1">
      <c r="A308" s="780"/>
      <c r="B308" s="780"/>
      <c r="C308" s="780"/>
      <c r="D308" s="780"/>
      <c r="E308" s="780"/>
      <c r="F308" s="780"/>
      <c r="G308" s="780"/>
      <c r="H308" s="780"/>
      <c r="I308" s="780"/>
      <c r="J308" s="1039"/>
      <c r="K308" s="1039"/>
      <c r="L308" s="1039"/>
      <c r="M308" s="1039"/>
      <c r="N308" s="1039"/>
      <c r="O308" s="1090"/>
      <c r="P308" s="1039"/>
      <c r="Q308" s="1039"/>
      <c r="R308" s="1039"/>
      <c r="S308" s="1039"/>
      <c r="T308" s="1039"/>
      <c r="U308" s="1039"/>
      <c r="V308" s="1039"/>
      <c r="W308" s="1039"/>
      <c r="X308" s="1039"/>
      <c r="Y308" s="1039"/>
      <c r="Z308" s="1039"/>
      <c r="AI308" s="1034"/>
      <c r="AJ308" s="1034"/>
      <c r="AK308" s="1034"/>
      <c r="AL308" s="1034"/>
      <c r="AM308" s="1034"/>
      <c r="AN308" s="1034"/>
      <c r="AO308" s="1034"/>
      <c r="CN308" s="753"/>
      <c r="CO308" s="753"/>
      <c r="CP308" s="753"/>
      <c r="CQ308" s="753"/>
      <c r="CR308" s="753"/>
      <c r="CS308" s="753"/>
      <c r="CT308" s="753"/>
      <c r="CU308" s="753"/>
      <c r="CV308" s="753"/>
      <c r="CW308" s="753"/>
      <c r="CX308" s="753"/>
      <c r="CY308" s="753"/>
      <c r="CZ308" s="753"/>
      <c r="DA308" s="753"/>
      <c r="DB308" s="753"/>
      <c r="DC308" s="753"/>
      <c r="DD308" s="753"/>
      <c r="DE308" s="753"/>
      <c r="DF308" s="753"/>
      <c r="DG308" s="753"/>
      <c r="DH308" s="753"/>
      <c r="DI308" s="753"/>
      <c r="DJ308" s="753"/>
      <c r="DK308" s="753"/>
      <c r="DL308" s="753"/>
      <c r="DM308" s="776"/>
      <c r="DN308" s="775"/>
    </row>
    <row r="309" spans="1:118" s="758" customFormat="1">
      <c r="A309" s="780"/>
      <c r="B309" s="780"/>
      <c r="C309" s="780"/>
      <c r="D309" s="780"/>
      <c r="E309" s="780"/>
      <c r="F309" s="780"/>
      <c r="G309" s="780"/>
      <c r="H309" s="780"/>
      <c r="I309" s="780"/>
      <c r="J309" s="1039"/>
      <c r="K309" s="1039"/>
      <c r="L309" s="1039"/>
      <c r="M309" s="1039"/>
      <c r="N309" s="1039"/>
      <c r="O309" s="1090"/>
      <c r="P309" s="1039"/>
      <c r="Q309" s="1039"/>
      <c r="R309" s="1039"/>
      <c r="S309" s="1039"/>
      <c r="T309" s="1039"/>
      <c r="U309" s="1039"/>
      <c r="V309" s="1039"/>
      <c r="W309" s="1039"/>
      <c r="X309" s="1039"/>
      <c r="Y309" s="1039"/>
      <c r="Z309" s="1039"/>
      <c r="AI309" s="1034"/>
      <c r="AJ309" s="1034"/>
      <c r="AK309" s="1034"/>
      <c r="AL309" s="1034"/>
      <c r="AM309" s="1034"/>
      <c r="AN309" s="1034"/>
      <c r="AO309" s="1034"/>
      <c r="CN309" s="753"/>
      <c r="CO309" s="753"/>
      <c r="CP309" s="753"/>
      <c r="CQ309" s="753"/>
      <c r="CR309" s="753"/>
      <c r="CS309" s="753"/>
      <c r="CT309" s="753"/>
      <c r="CU309" s="753"/>
      <c r="CV309" s="753"/>
      <c r="CW309" s="753"/>
      <c r="CX309" s="753"/>
      <c r="CY309" s="753"/>
      <c r="CZ309" s="753"/>
      <c r="DA309" s="753"/>
      <c r="DB309" s="753"/>
      <c r="DC309" s="753"/>
      <c r="DD309" s="753"/>
      <c r="DE309" s="753"/>
      <c r="DF309" s="753"/>
      <c r="DG309" s="753"/>
      <c r="DH309" s="753"/>
      <c r="DI309" s="753"/>
      <c r="DJ309" s="753"/>
      <c r="DK309" s="753"/>
      <c r="DL309" s="753"/>
      <c r="DM309" s="776"/>
      <c r="DN309" s="775"/>
    </row>
    <row r="310" spans="1:118" s="758" customFormat="1">
      <c r="A310" s="780"/>
      <c r="B310" s="780"/>
      <c r="C310" s="780"/>
      <c r="D310" s="780"/>
      <c r="E310" s="780"/>
      <c r="F310" s="780"/>
      <c r="G310" s="780"/>
      <c r="H310" s="780"/>
      <c r="I310" s="780"/>
      <c r="J310" s="1039"/>
      <c r="K310" s="1039"/>
      <c r="L310" s="1039"/>
      <c r="M310" s="1039"/>
      <c r="N310" s="1039"/>
      <c r="O310" s="1090"/>
      <c r="P310" s="1039"/>
      <c r="Q310" s="1039"/>
      <c r="R310" s="1039"/>
      <c r="S310" s="1039"/>
      <c r="T310" s="1039"/>
      <c r="U310" s="1039"/>
      <c r="V310" s="1039"/>
      <c r="W310" s="1039"/>
      <c r="X310" s="1039"/>
      <c r="Y310" s="1039"/>
      <c r="Z310" s="1039"/>
      <c r="AI310" s="1034"/>
      <c r="AJ310" s="1034"/>
      <c r="AK310" s="1034"/>
      <c r="AL310" s="1034"/>
      <c r="AM310" s="1034"/>
      <c r="AN310" s="1034"/>
      <c r="AO310" s="1034"/>
      <c r="CN310" s="753"/>
      <c r="CO310" s="753"/>
      <c r="CP310" s="753"/>
      <c r="CQ310" s="753"/>
      <c r="CR310" s="753"/>
      <c r="CS310" s="753"/>
      <c r="CT310" s="753"/>
      <c r="CU310" s="753"/>
      <c r="CV310" s="753"/>
      <c r="CW310" s="753"/>
      <c r="CX310" s="753"/>
      <c r="CY310" s="753"/>
      <c r="CZ310" s="753"/>
      <c r="DA310" s="753"/>
      <c r="DB310" s="753"/>
      <c r="DC310" s="753"/>
      <c r="DD310" s="753"/>
      <c r="DE310" s="753"/>
      <c r="DF310" s="753"/>
      <c r="DG310" s="753"/>
      <c r="DH310" s="753"/>
      <c r="DI310" s="753"/>
      <c r="DJ310" s="753"/>
      <c r="DK310" s="753"/>
      <c r="DL310" s="753"/>
      <c r="DM310" s="776"/>
      <c r="DN310" s="775"/>
    </row>
    <row r="311" spans="1:118" s="758" customFormat="1">
      <c r="A311" s="780"/>
      <c r="B311" s="780"/>
      <c r="C311" s="780"/>
      <c r="D311" s="780"/>
      <c r="E311" s="780"/>
      <c r="F311" s="780"/>
      <c r="G311" s="780"/>
      <c r="H311" s="780"/>
      <c r="I311" s="780"/>
      <c r="J311" s="1039"/>
      <c r="K311" s="1039"/>
      <c r="L311" s="1039"/>
      <c r="M311" s="1039"/>
      <c r="N311" s="1039"/>
      <c r="O311" s="1090"/>
      <c r="P311" s="1039"/>
      <c r="Q311" s="1039"/>
      <c r="R311" s="1039"/>
      <c r="S311" s="1039"/>
      <c r="T311" s="1039"/>
      <c r="U311" s="1039"/>
      <c r="V311" s="1039"/>
      <c r="W311" s="1039"/>
      <c r="X311" s="1039"/>
      <c r="Y311" s="1039"/>
      <c r="Z311" s="1039"/>
      <c r="AI311" s="1034"/>
      <c r="AJ311" s="1034"/>
      <c r="AK311" s="1034"/>
      <c r="AL311" s="1034"/>
      <c r="AM311" s="1034"/>
      <c r="AN311" s="1034"/>
      <c r="AO311" s="1034"/>
      <c r="CN311" s="753"/>
      <c r="CO311" s="753"/>
      <c r="CP311" s="753"/>
      <c r="CQ311" s="753"/>
      <c r="CR311" s="753"/>
      <c r="CS311" s="753"/>
      <c r="CT311" s="753"/>
      <c r="CU311" s="753"/>
      <c r="CV311" s="753"/>
      <c r="CW311" s="753"/>
      <c r="CX311" s="753"/>
      <c r="CY311" s="753"/>
      <c r="CZ311" s="753"/>
      <c r="DA311" s="753"/>
      <c r="DB311" s="753"/>
      <c r="DC311" s="753"/>
      <c r="DD311" s="753"/>
      <c r="DE311" s="753"/>
      <c r="DF311" s="753"/>
      <c r="DG311" s="753"/>
      <c r="DH311" s="753"/>
      <c r="DI311" s="753"/>
      <c r="DJ311" s="753"/>
      <c r="DK311" s="753"/>
      <c r="DL311" s="753"/>
      <c r="DN311" s="775"/>
    </row>
    <row r="312" spans="1:118" s="758" customFormat="1">
      <c r="A312" s="780"/>
      <c r="B312" s="780"/>
      <c r="C312" s="780"/>
      <c r="D312" s="780"/>
      <c r="E312" s="780"/>
      <c r="F312" s="780"/>
      <c r="G312" s="780"/>
      <c r="H312" s="780"/>
      <c r="I312" s="780"/>
      <c r="J312" s="1039"/>
      <c r="K312" s="1039"/>
      <c r="L312" s="1039"/>
      <c r="M312" s="1039"/>
      <c r="N312" s="1039"/>
      <c r="O312" s="1090"/>
      <c r="P312" s="1039"/>
      <c r="Q312" s="1039"/>
      <c r="R312" s="1039"/>
      <c r="S312" s="1039"/>
      <c r="T312" s="1039"/>
      <c r="U312" s="1039"/>
      <c r="V312" s="1039"/>
      <c r="W312" s="1039"/>
      <c r="X312" s="1039"/>
      <c r="Y312" s="1039"/>
      <c r="Z312" s="1039"/>
      <c r="AI312" s="1034"/>
      <c r="AJ312" s="1034"/>
      <c r="AK312" s="1034"/>
      <c r="AL312" s="1034"/>
      <c r="AM312" s="1034"/>
      <c r="AN312" s="1034"/>
      <c r="AO312" s="1034"/>
      <c r="CN312" s="753"/>
      <c r="CO312" s="753"/>
      <c r="CP312" s="753"/>
      <c r="CQ312" s="753"/>
      <c r="CR312" s="753"/>
      <c r="CS312" s="753"/>
      <c r="CT312" s="753"/>
      <c r="CU312" s="753"/>
      <c r="CV312" s="753"/>
      <c r="CW312" s="753"/>
      <c r="CX312" s="753"/>
      <c r="CY312" s="753"/>
      <c r="CZ312" s="753"/>
      <c r="DA312" s="753"/>
      <c r="DB312" s="753"/>
      <c r="DC312" s="753"/>
      <c r="DD312" s="753"/>
      <c r="DE312" s="753"/>
      <c r="DF312" s="753"/>
      <c r="DG312" s="753"/>
      <c r="DH312" s="753"/>
      <c r="DI312" s="753"/>
      <c r="DJ312" s="753"/>
      <c r="DK312" s="753"/>
      <c r="DL312" s="753"/>
      <c r="DN312" s="775"/>
    </row>
    <row r="313" spans="1:118" s="758" customFormat="1">
      <c r="A313" s="780"/>
      <c r="B313" s="780"/>
      <c r="C313" s="780"/>
      <c r="D313" s="780"/>
      <c r="E313" s="780"/>
      <c r="F313" s="780"/>
      <c r="G313" s="780"/>
      <c r="H313" s="780"/>
      <c r="I313" s="780"/>
      <c r="J313" s="1039"/>
      <c r="K313" s="1039"/>
      <c r="L313" s="1039"/>
      <c r="M313" s="1039"/>
      <c r="N313" s="1039"/>
      <c r="O313" s="1090"/>
      <c r="P313" s="1039"/>
      <c r="Q313" s="1039"/>
      <c r="R313" s="1039"/>
      <c r="S313" s="1039"/>
      <c r="T313" s="1039"/>
      <c r="U313" s="1039"/>
      <c r="V313" s="1039"/>
      <c r="W313" s="1039"/>
      <c r="X313" s="1039"/>
      <c r="Y313" s="1039"/>
      <c r="Z313" s="1039"/>
      <c r="AI313" s="1034"/>
      <c r="AJ313" s="1034"/>
      <c r="AK313" s="1034"/>
      <c r="AL313" s="1034"/>
      <c r="AM313" s="1034"/>
      <c r="AN313" s="1034"/>
      <c r="AO313" s="1034"/>
      <c r="CN313" s="753"/>
      <c r="CO313" s="753"/>
      <c r="CP313" s="753"/>
      <c r="CQ313" s="753"/>
      <c r="CR313" s="753"/>
      <c r="CS313" s="753"/>
      <c r="CT313" s="753"/>
      <c r="CU313" s="753"/>
      <c r="CV313" s="753"/>
      <c r="CW313" s="753"/>
      <c r="CX313" s="753"/>
      <c r="CY313" s="753"/>
      <c r="CZ313" s="753"/>
      <c r="DA313" s="753"/>
      <c r="DB313" s="753"/>
      <c r="DC313" s="753"/>
      <c r="DD313" s="753"/>
      <c r="DE313" s="753"/>
      <c r="DF313" s="753"/>
      <c r="DG313" s="753"/>
      <c r="DH313" s="753"/>
      <c r="DI313" s="753"/>
      <c r="DJ313" s="753"/>
      <c r="DK313" s="753"/>
      <c r="DL313" s="753"/>
      <c r="DN313" s="775"/>
    </row>
    <row r="314" spans="1:118" s="758" customFormat="1">
      <c r="A314" s="780"/>
      <c r="B314" s="825"/>
      <c r="C314" s="780"/>
      <c r="D314" s="780"/>
      <c r="E314" s="780"/>
      <c r="F314" s="780"/>
      <c r="G314" s="780"/>
      <c r="H314" s="780"/>
      <c r="I314" s="780"/>
      <c r="J314" s="1039"/>
      <c r="K314" s="1039"/>
      <c r="L314" s="1039"/>
      <c r="M314" s="1039"/>
      <c r="N314" s="1039"/>
      <c r="O314" s="1090"/>
      <c r="P314" s="1039"/>
      <c r="Q314" s="1039"/>
      <c r="R314" s="1039"/>
      <c r="S314" s="1039"/>
      <c r="T314" s="1039"/>
      <c r="U314" s="1039"/>
      <c r="V314" s="1039"/>
      <c r="W314" s="1039"/>
      <c r="X314" s="1039"/>
      <c r="Y314" s="1039"/>
      <c r="Z314" s="1039"/>
      <c r="AI314" s="1034"/>
      <c r="AJ314" s="1034"/>
      <c r="AK314" s="1034"/>
      <c r="AL314" s="1034"/>
      <c r="AM314" s="1034"/>
      <c r="AN314" s="1034"/>
      <c r="AO314" s="1034"/>
      <c r="CN314" s="753"/>
      <c r="CO314" s="753"/>
      <c r="CP314" s="753"/>
      <c r="CQ314" s="753"/>
      <c r="CR314" s="753"/>
      <c r="CS314" s="753"/>
      <c r="CT314" s="753"/>
      <c r="CU314" s="753"/>
      <c r="CV314" s="753"/>
      <c r="CW314" s="753"/>
      <c r="CX314" s="753"/>
      <c r="CY314" s="753"/>
      <c r="CZ314" s="753"/>
      <c r="DA314" s="753"/>
      <c r="DB314" s="753"/>
      <c r="DC314" s="753"/>
      <c r="DD314" s="753"/>
      <c r="DE314" s="753"/>
      <c r="DF314" s="753"/>
      <c r="DG314" s="753"/>
      <c r="DH314" s="753"/>
      <c r="DI314" s="753"/>
      <c r="DJ314" s="753"/>
      <c r="DK314" s="753"/>
      <c r="DL314" s="753"/>
      <c r="DN314" s="775"/>
    </row>
    <row r="315" spans="1:118" s="758" customFormat="1">
      <c r="A315" s="825"/>
      <c r="B315" s="825"/>
      <c r="C315" s="825"/>
      <c r="D315" s="825"/>
      <c r="E315" s="825"/>
      <c r="F315" s="825"/>
      <c r="G315" s="825"/>
      <c r="H315" s="825"/>
      <c r="I315" s="825"/>
      <c r="J315" s="1039"/>
      <c r="K315" s="1039"/>
      <c r="L315" s="1039"/>
      <c r="M315" s="1039"/>
      <c r="N315" s="1039"/>
      <c r="O315" s="1090"/>
      <c r="P315" s="1039"/>
      <c r="Q315" s="1039"/>
      <c r="R315" s="1039"/>
      <c r="S315" s="1039"/>
      <c r="T315" s="1039"/>
      <c r="U315" s="1039"/>
      <c r="V315" s="1039"/>
      <c r="W315" s="1039"/>
      <c r="X315" s="1039"/>
      <c r="Y315" s="1039"/>
      <c r="Z315" s="1039"/>
      <c r="AI315" s="1034"/>
      <c r="AJ315" s="1034"/>
      <c r="AK315" s="1034"/>
      <c r="AL315" s="1034"/>
      <c r="AM315" s="1034"/>
      <c r="AN315" s="1034"/>
      <c r="AO315" s="1034"/>
      <c r="CN315" s="753"/>
      <c r="CO315" s="753"/>
      <c r="CP315" s="753"/>
      <c r="CQ315" s="753"/>
      <c r="CR315" s="753"/>
      <c r="CS315" s="753"/>
      <c r="CT315" s="753"/>
      <c r="CU315" s="753"/>
      <c r="CV315" s="753"/>
      <c r="CW315" s="753"/>
      <c r="CX315" s="753"/>
      <c r="CY315" s="753"/>
      <c r="CZ315" s="753"/>
      <c r="DA315" s="753"/>
      <c r="DB315" s="753"/>
      <c r="DC315" s="753"/>
      <c r="DD315" s="753"/>
      <c r="DE315" s="753"/>
      <c r="DF315" s="753"/>
      <c r="DG315" s="753"/>
      <c r="DH315" s="753"/>
      <c r="DI315" s="753"/>
      <c r="DJ315" s="753"/>
      <c r="DK315" s="753"/>
      <c r="DL315" s="753"/>
      <c r="DN315" s="775"/>
    </row>
    <row r="316" spans="1:118" s="758" customFormat="1">
      <c r="A316" s="825"/>
      <c r="B316" s="825"/>
      <c r="C316" s="825"/>
      <c r="D316" s="825"/>
      <c r="E316" s="825"/>
      <c r="F316" s="825"/>
      <c r="G316" s="825"/>
      <c r="H316" s="825"/>
      <c r="I316" s="825"/>
      <c r="J316" s="1039"/>
      <c r="K316" s="1039"/>
      <c r="L316" s="1039"/>
      <c r="M316" s="1039"/>
      <c r="N316" s="1039"/>
      <c r="O316" s="1090"/>
      <c r="P316" s="1039"/>
      <c r="Q316" s="1039"/>
      <c r="R316" s="1039"/>
      <c r="S316" s="1039"/>
      <c r="T316" s="1039"/>
      <c r="U316" s="1039"/>
      <c r="V316" s="1039"/>
      <c r="W316" s="1039"/>
      <c r="X316" s="1039"/>
      <c r="Y316" s="1039"/>
      <c r="Z316" s="1039"/>
      <c r="AI316" s="1034"/>
      <c r="AJ316" s="1034"/>
      <c r="AK316" s="1034"/>
      <c r="AL316" s="1034"/>
      <c r="AM316" s="1034"/>
      <c r="AN316" s="1034"/>
      <c r="AO316" s="1034"/>
      <c r="CN316" s="753"/>
      <c r="CO316" s="753"/>
      <c r="CP316" s="753"/>
      <c r="CQ316" s="753"/>
      <c r="CR316" s="753"/>
      <c r="CS316" s="753"/>
      <c r="CT316" s="753"/>
      <c r="CU316" s="753"/>
      <c r="CV316" s="753"/>
      <c r="CW316" s="753"/>
      <c r="CX316" s="753"/>
      <c r="CY316" s="753"/>
      <c r="CZ316" s="753"/>
      <c r="DA316" s="753"/>
      <c r="DB316" s="753"/>
      <c r="DC316" s="753"/>
      <c r="DD316" s="753"/>
      <c r="DE316" s="753"/>
      <c r="DF316" s="753"/>
      <c r="DG316" s="753"/>
      <c r="DH316" s="753"/>
      <c r="DI316" s="753"/>
      <c r="DJ316" s="753"/>
      <c r="DK316" s="753"/>
      <c r="DL316" s="753"/>
      <c r="DN316" s="775"/>
    </row>
    <row r="317" spans="1:118" s="758" customFormat="1">
      <c r="A317" s="825"/>
      <c r="B317" s="825"/>
      <c r="C317" s="825"/>
      <c r="D317" s="825"/>
      <c r="E317" s="825"/>
      <c r="F317" s="825"/>
      <c r="G317" s="825"/>
      <c r="H317" s="825"/>
      <c r="I317" s="825"/>
      <c r="J317" s="1039"/>
      <c r="K317" s="1039"/>
      <c r="L317" s="1039"/>
      <c r="M317" s="1039"/>
      <c r="N317" s="1039"/>
      <c r="O317" s="1090"/>
      <c r="P317" s="1039"/>
      <c r="Q317" s="1039"/>
      <c r="R317" s="1039"/>
      <c r="S317" s="1039"/>
      <c r="T317" s="1039"/>
      <c r="U317" s="1039"/>
      <c r="V317" s="1039"/>
      <c r="W317" s="1039"/>
      <c r="X317" s="1039"/>
      <c r="Y317" s="1039"/>
      <c r="Z317" s="1039"/>
      <c r="AI317" s="1034"/>
      <c r="AJ317" s="1034"/>
      <c r="AK317" s="1034"/>
      <c r="AL317" s="1034"/>
      <c r="AM317" s="1034"/>
      <c r="AN317" s="1034"/>
      <c r="AO317" s="1034"/>
      <c r="CN317" s="753"/>
      <c r="CO317" s="753"/>
      <c r="CP317" s="753"/>
      <c r="CQ317" s="753"/>
      <c r="CR317" s="753"/>
      <c r="CS317" s="753"/>
      <c r="CT317" s="753"/>
      <c r="CU317" s="753"/>
      <c r="CV317" s="753"/>
      <c r="CW317" s="753"/>
      <c r="CX317" s="753"/>
      <c r="CY317" s="753"/>
      <c r="CZ317" s="753"/>
      <c r="DA317" s="753"/>
      <c r="DB317" s="753"/>
      <c r="DC317" s="753"/>
      <c r="DD317" s="753"/>
      <c r="DE317" s="753"/>
      <c r="DF317" s="753"/>
      <c r="DG317" s="753"/>
      <c r="DH317" s="753"/>
      <c r="DI317" s="753"/>
      <c r="DJ317" s="753"/>
      <c r="DK317" s="753"/>
      <c r="DL317" s="753"/>
      <c r="DN317" s="775"/>
    </row>
    <row r="318" spans="1:118" s="758" customFormat="1">
      <c r="A318" s="825"/>
      <c r="B318" s="825"/>
      <c r="C318" s="825"/>
      <c r="D318" s="825"/>
      <c r="E318" s="825"/>
      <c r="F318" s="825"/>
      <c r="G318" s="825"/>
      <c r="H318" s="825"/>
      <c r="I318" s="825"/>
      <c r="J318" s="1039"/>
      <c r="K318" s="1039"/>
      <c r="L318" s="1039"/>
      <c r="M318" s="1039"/>
      <c r="N318" s="1039"/>
      <c r="O318" s="1090"/>
      <c r="P318" s="1039"/>
      <c r="Q318" s="1039"/>
      <c r="R318" s="1039"/>
      <c r="S318" s="1039"/>
      <c r="T318" s="1039"/>
      <c r="U318" s="1039"/>
      <c r="V318" s="1039"/>
      <c r="W318" s="1039"/>
      <c r="X318" s="1039"/>
      <c r="Y318" s="1039"/>
      <c r="Z318" s="1039"/>
      <c r="AI318" s="1034"/>
      <c r="AJ318" s="1034"/>
      <c r="AK318" s="1034"/>
      <c r="AL318" s="1034"/>
      <c r="AM318" s="1034"/>
      <c r="AN318" s="1034"/>
      <c r="AO318" s="1034"/>
      <c r="CN318" s="753"/>
      <c r="CO318" s="753"/>
      <c r="CP318" s="753"/>
      <c r="CQ318" s="753"/>
      <c r="CR318" s="753"/>
      <c r="CS318" s="753"/>
      <c r="CT318" s="753"/>
      <c r="CU318" s="753"/>
      <c r="CV318" s="753"/>
      <c r="CW318" s="753"/>
      <c r="CX318" s="753"/>
      <c r="CY318" s="753"/>
      <c r="CZ318" s="753"/>
      <c r="DA318" s="753"/>
      <c r="DB318" s="753"/>
      <c r="DC318" s="753"/>
      <c r="DD318" s="753"/>
      <c r="DE318" s="753"/>
      <c r="DF318" s="753"/>
      <c r="DG318" s="753"/>
      <c r="DH318" s="753"/>
      <c r="DI318" s="753"/>
      <c r="DJ318" s="753"/>
      <c r="DK318" s="753"/>
      <c r="DL318" s="753"/>
      <c r="DN318" s="775"/>
    </row>
    <row r="319" spans="1:118" s="758" customFormat="1">
      <c r="A319" s="825"/>
      <c r="B319" s="825"/>
      <c r="C319" s="825"/>
      <c r="D319" s="825"/>
      <c r="E319" s="825"/>
      <c r="F319" s="825"/>
      <c r="G319" s="825"/>
      <c r="H319" s="825"/>
      <c r="I319" s="825"/>
      <c r="J319" s="1039"/>
      <c r="K319" s="1039"/>
      <c r="L319" s="1039"/>
      <c r="M319" s="1039"/>
      <c r="N319" s="1039"/>
      <c r="O319" s="1090"/>
      <c r="P319" s="1039"/>
      <c r="Q319" s="1039"/>
      <c r="R319" s="1039"/>
      <c r="S319" s="1039"/>
      <c r="T319" s="1039"/>
      <c r="U319" s="1039"/>
      <c r="V319" s="1039"/>
      <c r="W319" s="1039"/>
      <c r="X319" s="1039"/>
      <c r="Y319" s="1039"/>
      <c r="Z319" s="1039"/>
      <c r="AI319" s="1034"/>
      <c r="AJ319" s="1034"/>
      <c r="AK319" s="1034"/>
      <c r="AL319" s="1034"/>
      <c r="AM319" s="1034"/>
      <c r="AN319" s="1034"/>
      <c r="AO319" s="1034"/>
      <c r="CN319" s="753"/>
      <c r="CO319" s="753"/>
      <c r="CP319" s="753"/>
      <c r="CQ319" s="753"/>
      <c r="CR319" s="753"/>
      <c r="CS319" s="753"/>
      <c r="CT319" s="753"/>
      <c r="CU319" s="753"/>
      <c r="CV319" s="753"/>
      <c r="CW319" s="753"/>
      <c r="CX319" s="753"/>
      <c r="CY319" s="753"/>
      <c r="CZ319" s="753"/>
      <c r="DA319" s="753"/>
      <c r="DB319" s="753"/>
      <c r="DC319" s="753"/>
      <c r="DD319" s="753"/>
      <c r="DE319" s="753"/>
      <c r="DF319" s="753"/>
      <c r="DG319" s="753"/>
      <c r="DH319" s="753"/>
      <c r="DI319" s="753"/>
      <c r="DJ319" s="753"/>
      <c r="DK319" s="753"/>
      <c r="DL319" s="753"/>
      <c r="DN319" s="775"/>
    </row>
    <row r="320" spans="1:118" s="758" customFormat="1">
      <c r="A320" s="825"/>
      <c r="B320" s="825"/>
      <c r="C320" s="825"/>
      <c r="D320" s="825"/>
      <c r="E320" s="825"/>
      <c r="F320" s="825"/>
      <c r="G320" s="825"/>
      <c r="H320" s="825"/>
      <c r="I320" s="825"/>
      <c r="J320" s="1039"/>
      <c r="K320" s="1039"/>
      <c r="L320" s="1039"/>
      <c r="M320" s="1039"/>
      <c r="N320" s="1039"/>
      <c r="O320" s="1090"/>
      <c r="P320" s="1039"/>
      <c r="Q320" s="1039"/>
      <c r="R320" s="1039"/>
      <c r="S320" s="1039"/>
      <c r="T320" s="1039"/>
      <c r="U320" s="1039"/>
      <c r="V320" s="1039"/>
      <c r="W320" s="1039"/>
      <c r="X320" s="1039"/>
      <c r="Y320" s="1039"/>
      <c r="Z320" s="1039"/>
      <c r="AI320" s="1034"/>
      <c r="AJ320" s="1034"/>
      <c r="AK320" s="1034"/>
      <c r="AL320" s="1034"/>
      <c r="AM320" s="1034"/>
      <c r="AN320" s="1034"/>
      <c r="AO320" s="1034"/>
      <c r="CN320" s="753"/>
      <c r="CO320" s="753"/>
      <c r="CP320" s="753"/>
      <c r="CQ320" s="753"/>
      <c r="CR320" s="753"/>
      <c r="CS320" s="753"/>
      <c r="CT320" s="753"/>
      <c r="CU320" s="753"/>
      <c r="CV320" s="753"/>
      <c r="CW320" s="753"/>
      <c r="CX320" s="753"/>
      <c r="CY320" s="753"/>
      <c r="CZ320" s="753"/>
      <c r="DA320" s="753"/>
      <c r="DB320" s="753"/>
      <c r="DC320" s="753"/>
      <c r="DD320" s="753"/>
      <c r="DE320" s="753"/>
      <c r="DF320" s="753"/>
      <c r="DG320" s="753"/>
      <c r="DH320" s="753"/>
      <c r="DI320" s="753"/>
      <c r="DJ320" s="753"/>
      <c r="DK320" s="753"/>
      <c r="DL320" s="753"/>
      <c r="DN320" s="775"/>
    </row>
    <row r="321" spans="1:118" s="758" customFormat="1">
      <c r="A321" s="825"/>
      <c r="B321" s="825"/>
      <c r="C321" s="825"/>
      <c r="D321" s="825"/>
      <c r="E321" s="825"/>
      <c r="F321" s="825"/>
      <c r="G321" s="825"/>
      <c r="H321" s="825"/>
      <c r="I321" s="825"/>
      <c r="J321" s="1039"/>
      <c r="K321" s="1039"/>
      <c r="L321" s="1039"/>
      <c r="M321" s="1039"/>
      <c r="N321" s="1039"/>
      <c r="O321" s="1090"/>
      <c r="P321" s="1039"/>
      <c r="Q321" s="1039"/>
      <c r="R321" s="1039"/>
      <c r="S321" s="1039"/>
      <c r="T321" s="1039"/>
      <c r="U321" s="1039"/>
      <c r="V321" s="1039"/>
      <c r="W321" s="1039"/>
      <c r="X321" s="1039"/>
      <c r="Y321" s="1039"/>
      <c r="Z321" s="1039"/>
      <c r="AI321" s="1034"/>
      <c r="AJ321" s="1034"/>
      <c r="AK321" s="1034"/>
      <c r="AL321" s="1034"/>
      <c r="AM321" s="1034"/>
      <c r="AN321" s="1034"/>
      <c r="AO321" s="1034"/>
      <c r="CN321" s="753"/>
      <c r="CO321" s="753"/>
      <c r="CP321" s="753"/>
      <c r="CQ321" s="753"/>
      <c r="CR321" s="753"/>
      <c r="CS321" s="753"/>
      <c r="CT321" s="753"/>
      <c r="CU321" s="753"/>
      <c r="CV321" s="753"/>
      <c r="CW321" s="753"/>
      <c r="CX321" s="753"/>
      <c r="CY321" s="753"/>
      <c r="CZ321" s="753"/>
      <c r="DA321" s="753"/>
      <c r="DB321" s="753"/>
      <c r="DC321" s="753"/>
      <c r="DD321" s="753"/>
      <c r="DE321" s="753"/>
      <c r="DF321" s="753"/>
      <c r="DG321" s="753"/>
      <c r="DH321" s="753"/>
      <c r="DI321" s="753"/>
      <c r="DJ321" s="753"/>
      <c r="DK321" s="753"/>
      <c r="DL321" s="753"/>
      <c r="DN321" s="775"/>
    </row>
    <row r="322" spans="1:118" s="758" customFormat="1">
      <c r="A322" s="825"/>
      <c r="B322" s="825"/>
      <c r="C322" s="825"/>
      <c r="D322" s="825"/>
      <c r="E322" s="825"/>
      <c r="F322" s="825"/>
      <c r="G322" s="825"/>
      <c r="H322" s="825"/>
      <c r="I322" s="825"/>
      <c r="J322" s="1039"/>
      <c r="K322" s="1039"/>
      <c r="L322" s="1039"/>
      <c r="M322" s="1039"/>
      <c r="N322" s="1039"/>
      <c r="O322" s="1090"/>
      <c r="P322" s="1039"/>
      <c r="Q322" s="1039"/>
      <c r="R322" s="1039"/>
      <c r="S322" s="1039"/>
      <c r="T322" s="1039"/>
      <c r="U322" s="1039"/>
      <c r="V322" s="1039"/>
      <c r="W322" s="1039"/>
      <c r="X322" s="1039"/>
      <c r="Y322" s="1039"/>
      <c r="Z322" s="1039"/>
      <c r="AI322" s="1034"/>
      <c r="AJ322" s="1034"/>
      <c r="AK322" s="1034"/>
      <c r="AL322" s="1034"/>
      <c r="AM322" s="1034"/>
      <c r="AN322" s="1034"/>
      <c r="AO322" s="1034"/>
      <c r="CN322" s="753"/>
      <c r="CO322" s="753"/>
      <c r="CP322" s="753"/>
      <c r="CQ322" s="753"/>
      <c r="CR322" s="753"/>
      <c r="CS322" s="753"/>
      <c r="CT322" s="753"/>
      <c r="CU322" s="753"/>
      <c r="CV322" s="753"/>
      <c r="CW322" s="753"/>
      <c r="CX322" s="753"/>
      <c r="CY322" s="753"/>
      <c r="CZ322" s="753"/>
      <c r="DA322" s="753"/>
      <c r="DB322" s="753"/>
      <c r="DC322" s="753"/>
      <c r="DD322" s="753"/>
      <c r="DE322" s="753"/>
      <c r="DF322" s="753"/>
      <c r="DG322" s="753"/>
      <c r="DH322" s="753"/>
      <c r="DI322" s="753"/>
      <c r="DJ322" s="753"/>
      <c r="DK322" s="753"/>
      <c r="DL322" s="753"/>
      <c r="DN322" s="775"/>
    </row>
    <row r="323" spans="1:118" s="758" customFormat="1">
      <c r="A323" s="825"/>
      <c r="B323" s="825"/>
      <c r="C323" s="825"/>
      <c r="D323" s="825"/>
      <c r="E323" s="825"/>
      <c r="F323" s="825"/>
      <c r="G323" s="825"/>
      <c r="H323" s="825"/>
      <c r="I323" s="825"/>
      <c r="J323" s="1039"/>
      <c r="K323" s="1039"/>
      <c r="L323" s="1039"/>
      <c r="M323" s="1039"/>
      <c r="N323" s="1039"/>
      <c r="O323" s="1090"/>
      <c r="P323" s="1039"/>
      <c r="Q323" s="1039"/>
      <c r="R323" s="1039"/>
      <c r="S323" s="1039"/>
      <c r="T323" s="1039"/>
      <c r="U323" s="1039"/>
      <c r="V323" s="1039"/>
      <c r="W323" s="1039"/>
      <c r="X323" s="1039"/>
      <c r="Y323" s="1039"/>
      <c r="Z323" s="1039"/>
      <c r="AI323" s="1034"/>
      <c r="AJ323" s="1034"/>
      <c r="AK323" s="1034"/>
      <c r="AL323" s="1034"/>
      <c r="AM323" s="1034"/>
      <c r="AN323" s="1034"/>
      <c r="AO323" s="1034"/>
      <c r="CN323" s="753"/>
      <c r="CO323" s="753"/>
      <c r="CP323" s="753"/>
      <c r="CQ323" s="753"/>
      <c r="CR323" s="753"/>
      <c r="CS323" s="753"/>
      <c r="CT323" s="753"/>
      <c r="CU323" s="753"/>
      <c r="CV323" s="753"/>
      <c r="CW323" s="753"/>
      <c r="CX323" s="753"/>
      <c r="CY323" s="753"/>
      <c r="CZ323" s="753"/>
      <c r="DA323" s="753"/>
      <c r="DB323" s="753"/>
      <c r="DC323" s="753"/>
      <c r="DD323" s="753"/>
      <c r="DE323" s="753"/>
      <c r="DF323" s="753"/>
      <c r="DG323" s="753"/>
      <c r="DH323" s="753"/>
      <c r="DI323" s="753"/>
      <c r="DJ323" s="753"/>
      <c r="DK323" s="753"/>
      <c r="DL323" s="753"/>
      <c r="DN323" s="775"/>
    </row>
    <row r="324" spans="1:118" s="758" customFormat="1">
      <c r="A324" s="825"/>
      <c r="B324" s="825"/>
      <c r="C324" s="825"/>
      <c r="D324" s="825"/>
      <c r="E324" s="825"/>
      <c r="F324" s="825"/>
      <c r="G324" s="825"/>
      <c r="H324" s="825"/>
      <c r="I324" s="825"/>
      <c r="J324" s="1039"/>
      <c r="K324" s="1039"/>
      <c r="L324" s="1039"/>
      <c r="M324" s="1039"/>
      <c r="N324" s="1039"/>
      <c r="O324" s="1090"/>
      <c r="P324" s="1039"/>
      <c r="Q324" s="1039"/>
      <c r="R324" s="1039"/>
      <c r="S324" s="1039"/>
      <c r="T324" s="1039"/>
      <c r="U324" s="1039"/>
      <c r="V324" s="1039"/>
      <c r="W324" s="1039"/>
      <c r="X324" s="1039"/>
      <c r="Y324" s="1039"/>
      <c r="Z324" s="1039"/>
      <c r="AI324" s="1034"/>
      <c r="AJ324" s="1034"/>
      <c r="AK324" s="1034"/>
      <c r="AL324" s="1034"/>
      <c r="AM324" s="1034"/>
      <c r="AN324" s="1034"/>
      <c r="AO324" s="1034"/>
      <c r="CN324" s="753"/>
      <c r="CO324" s="753"/>
      <c r="CP324" s="753"/>
      <c r="CQ324" s="753"/>
      <c r="CR324" s="753"/>
      <c r="CS324" s="753"/>
      <c r="CT324" s="753"/>
      <c r="CU324" s="753"/>
      <c r="CV324" s="753"/>
      <c r="CW324" s="753"/>
      <c r="CX324" s="753"/>
      <c r="CY324" s="753"/>
      <c r="CZ324" s="753"/>
      <c r="DA324" s="753"/>
      <c r="DB324" s="753"/>
      <c r="DC324" s="753"/>
      <c r="DD324" s="753"/>
      <c r="DE324" s="753"/>
      <c r="DF324" s="753"/>
      <c r="DG324" s="753"/>
      <c r="DH324" s="753"/>
      <c r="DI324" s="753"/>
      <c r="DJ324" s="753"/>
      <c r="DK324" s="753"/>
      <c r="DL324" s="753"/>
      <c r="DN324" s="775"/>
    </row>
    <row r="325" spans="1:118" s="758" customFormat="1">
      <c r="A325" s="825"/>
      <c r="B325" s="825"/>
      <c r="C325" s="825"/>
      <c r="D325" s="825"/>
      <c r="E325" s="825"/>
      <c r="F325" s="825"/>
      <c r="G325" s="825"/>
      <c r="H325" s="825"/>
      <c r="I325" s="825"/>
      <c r="J325" s="1039"/>
      <c r="K325" s="1039"/>
      <c r="L325" s="1039"/>
      <c r="M325" s="1039"/>
      <c r="N325" s="1039"/>
      <c r="O325" s="1090"/>
      <c r="P325" s="1039"/>
      <c r="Q325" s="1039"/>
      <c r="R325" s="1039"/>
      <c r="S325" s="1039"/>
      <c r="T325" s="1039"/>
      <c r="U325" s="1039"/>
      <c r="V325" s="1039"/>
      <c r="W325" s="1039"/>
      <c r="X325" s="1039"/>
      <c r="Y325" s="1039"/>
      <c r="Z325" s="1039"/>
      <c r="AI325" s="1034"/>
      <c r="AJ325" s="1034"/>
      <c r="AK325" s="1034"/>
      <c r="AL325" s="1034"/>
      <c r="AM325" s="1034"/>
      <c r="AN325" s="1034"/>
      <c r="AO325" s="1034"/>
      <c r="CN325" s="753"/>
      <c r="CO325" s="753"/>
      <c r="CP325" s="753"/>
      <c r="CQ325" s="753"/>
      <c r="CR325" s="753"/>
      <c r="CS325" s="753"/>
      <c r="CT325" s="753"/>
      <c r="CU325" s="753"/>
      <c r="CV325" s="753"/>
      <c r="CW325" s="753"/>
      <c r="CX325" s="753"/>
      <c r="CY325" s="753"/>
      <c r="CZ325" s="753"/>
      <c r="DA325" s="753"/>
      <c r="DB325" s="753"/>
      <c r="DC325" s="753"/>
      <c r="DD325" s="753"/>
      <c r="DE325" s="753"/>
      <c r="DF325" s="753"/>
      <c r="DG325" s="753"/>
      <c r="DH325" s="753"/>
      <c r="DI325" s="753"/>
      <c r="DJ325" s="753"/>
      <c r="DK325" s="753"/>
      <c r="DL325" s="753"/>
      <c r="DN325" s="775"/>
    </row>
    <row r="326" spans="1:118" s="758" customFormat="1">
      <c r="A326" s="825"/>
      <c r="B326" s="825"/>
      <c r="C326" s="825"/>
      <c r="D326" s="825"/>
      <c r="E326" s="825"/>
      <c r="F326" s="825"/>
      <c r="G326" s="825"/>
      <c r="H326" s="825"/>
      <c r="I326" s="825"/>
      <c r="J326" s="1039"/>
      <c r="K326" s="1039"/>
      <c r="L326" s="1039"/>
      <c r="M326" s="1039"/>
      <c r="N326" s="1039"/>
      <c r="O326" s="1090"/>
      <c r="P326" s="1039"/>
      <c r="Q326" s="1039"/>
      <c r="R326" s="1039"/>
      <c r="S326" s="1039"/>
      <c r="T326" s="1039"/>
      <c r="U326" s="1039"/>
      <c r="V326" s="1039"/>
      <c r="W326" s="1039"/>
      <c r="X326" s="1039"/>
      <c r="Y326" s="1039"/>
      <c r="Z326" s="1039"/>
      <c r="AI326" s="1034"/>
      <c r="AJ326" s="1034"/>
      <c r="AK326" s="1034"/>
      <c r="AL326" s="1034"/>
      <c r="AM326" s="1034"/>
      <c r="AN326" s="1034"/>
      <c r="AO326" s="1034"/>
      <c r="CN326" s="753"/>
      <c r="CO326" s="753"/>
      <c r="CP326" s="753"/>
      <c r="CQ326" s="753"/>
      <c r="CR326" s="753"/>
      <c r="CS326" s="753"/>
      <c r="CT326" s="753"/>
      <c r="CU326" s="753"/>
      <c r="CV326" s="753"/>
      <c r="CW326" s="753"/>
      <c r="CX326" s="753"/>
      <c r="CY326" s="753"/>
      <c r="CZ326" s="753"/>
      <c r="DA326" s="753"/>
      <c r="DB326" s="753"/>
      <c r="DC326" s="753"/>
      <c r="DD326" s="753"/>
      <c r="DE326" s="753"/>
      <c r="DF326" s="753"/>
      <c r="DG326" s="753"/>
      <c r="DH326" s="753"/>
      <c r="DI326" s="753"/>
      <c r="DJ326" s="753"/>
      <c r="DK326" s="753"/>
      <c r="DL326" s="753"/>
      <c r="DN326" s="775"/>
    </row>
    <row r="327" spans="1:118" s="758" customFormat="1">
      <c r="A327" s="825"/>
      <c r="B327" s="825"/>
      <c r="C327" s="825"/>
      <c r="D327" s="825"/>
      <c r="E327" s="825"/>
      <c r="F327" s="825"/>
      <c r="G327" s="825"/>
      <c r="H327" s="825"/>
      <c r="I327" s="825"/>
      <c r="J327" s="1039"/>
      <c r="K327" s="1039"/>
      <c r="L327" s="1039"/>
      <c r="M327" s="1039"/>
      <c r="N327" s="1039"/>
      <c r="O327" s="1090"/>
      <c r="P327" s="1039"/>
      <c r="Q327" s="1039"/>
      <c r="R327" s="1039"/>
      <c r="S327" s="1039"/>
      <c r="T327" s="1039"/>
      <c r="U327" s="1039"/>
      <c r="V327" s="1039"/>
      <c r="W327" s="1039"/>
      <c r="X327" s="1039"/>
      <c r="Y327" s="1039"/>
      <c r="Z327" s="1039"/>
      <c r="AI327" s="1034"/>
      <c r="AJ327" s="1034"/>
      <c r="AK327" s="1034"/>
      <c r="AL327" s="1034"/>
      <c r="AM327" s="1034"/>
      <c r="AN327" s="1034"/>
      <c r="AO327" s="1034"/>
      <c r="CN327" s="753"/>
      <c r="CO327" s="753"/>
      <c r="CP327" s="753"/>
      <c r="CQ327" s="753"/>
      <c r="CR327" s="753"/>
      <c r="CS327" s="753"/>
      <c r="CT327" s="753"/>
      <c r="CU327" s="753"/>
      <c r="CV327" s="753"/>
      <c r="CW327" s="753"/>
      <c r="CX327" s="753"/>
      <c r="CY327" s="753"/>
      <c r="CZ327" s="753"/>
      <c r="DA327" s="753"/>
      <c r="DB327" s="753"/>
      <c r="DC327" s="753"/>
      <c r="DD327" s="753"/>
      <c r="DE327" s="753"/>
      <c r="DF327" s="753"/>
      <c r="DG327" s="753"/>
      <c r="DH327" s="753"/>
      <c r="DI327" s="753"/>
      <c r="DJ327" s="753"/>
      <c r="DK327" s="753"/>
      <c r="DL327" s="753"/>
      <c r="DN327" s="775"/>
    </row>
    <row r="328" spans="1:118" s="758" customFormat="1">
      <c r="A328" s="825"/>
      <c r="B328" s="825"/>
      <c r="C328" s="825"/>
      <c r="D328" s="825"/>
      <c r="E328" s="825"/>
      <c r="F328" s="825"/>
      <c r="G328" s="825"/>
      <c r="H328" s="825"/>
      <c r="I328" s="825"/>
      <c r="J328" s="1039"/>
      <c r="K328" s="1039"/>
      <c r="L328" s="1039"/>
      <c r="M328" s="1039"/>
      <c r="N328" s="1039"/>
      <c r="O328" s="1090"/>
      <c r="P328" s="1039"/>
      <c r="Q328" s="1039"/>
      <c r="R328" s="1039"/>
      <c r="S328" s="1039"/>
      <c r="T328" s="1039"/>
      <c r="U328" s="1039"/>
      <c r="V328" s="1039"/>
      <c r="W328" s="1039"/>
      <c r="X328" s="1039"/>
      <c r="Y328" s="1039"/>
      <c r="Z328" s="1039"/>
      <c r="AI328" s="1034"/>
      <c r="AJ328" s="1034"/>
      <c r="AK328" s="1034"/>
      <c r="AL328" s="1034"/>
      <c r="AM328" s="1034"/>
      <c r="AN328" s="1034"/>
      <c r="AO328" s="1034"/>
      <c r="CN328" s="753"/>
      <c r="CO328" s="753"/>
      <c r="CP328" s="753"/>
      <c r="CQ328" s="753"/>
      <c r="CR328" s="753"/>
      <c r="CS328" s="753"/>
      <c r="CT328" s="753"/>
      <c r="CU328" s="753"/>
      <c r="CV328" s="753"/>
      <c r="CW328" s="753"/>
      <c r="CX328" s="753"/>
      <c r="CY328" s="753"/>
      <c r="CZ328" s="753"/>
      <c r="DA328" s="753"/>
      <c r="DB328" s="753"/>
      <c r="DC328" s="753"/>
      <c r="DD328" s="753"/>
      <c r="DE328" s="753"/>
      <c r="DF328" s="753"/>
      <c r="DG328" s="753"/>
      <c r="DH328" s="753"/>
      <c r="DI328" s="753"/>
      <c r="DJ328" s="753"/>
      <c r="DK328" s="753"/>
      <c r="DL328" s="753"/>
      <c r="DN328" s="775"/>
    </row>
    <row r="329" spans="1:118" s="758" customFormat="1">
      <c r="A329" s="825"/>
      <c r="B329" s="825"/>
      <c r="C329" s="825"/>
      <c r="D329" s="825"/>
      <c r="E329" s="825"/>
      <c r="F329" s="825"/>
      <c r="G329" s="825"/>
      <c r="H329" s="825"/>
      <c r="I329" s="825"/>
      <c r="J329" s="1039"/>
      <c r="K329" s="1039"/>
      <c r="L329" s="1039"/>
      <c r="M329" s="1039"/>
      <c r="N329" s="1039"/>
      <c r="O329" s="1090"/>
      <c r="P329" s="1039"/>
      <c r="Q329" s="1039"/>
      <c r="R329" s="1039"/>
      <c r="S329" s="1039"/>
      <c r="T329" s="1039"/>
      <c r="U329" s="1039"/>
      <c r="V329" s="1039"/>
      <c r="W329" s="1039"/>
      <c r="X329" s="1039"/>
      <c r="Y329" s="1039"/>
      <c r="Z329" s="1039"/>
      <c r="AI329" s="1034"/>
      <c r="AJ329" s="1034"/>
      <c r="AK329" s="1034"/>
      <c r="AL329" s="1034"/>
      <c r="AM329" s="1034"/>
      <c r="AN329" s="1034"/>
      <c r="AO329" s="1034"/>
      <c r="CN329" s="753"/>
      <c r="CO329" s="753"/>
      <c r="CP329" s="753"/>
      <c r="CQ329" s="753"/>
      <c r="CR329" s="753"/>
      <c r="CS329" s="753"/>
      <c r="CT329" s="753"/>
      <c r="CU329" s="753"/>
      <c r="CV329" s="753"/>
      <c r="CW329" s="753"/>
      <c r="CX329" s="753"/>
      <c r="CY329" s="753"/>
      <c r="CZ329" s="753"/>
      <c r="DA329" s="753"/>
      <c r="DB329" s="753"/>
      <c r="DC329" s="753"/>
      <c r="DD329" s="753"/>
      <c r="DE329" s="753"/>
      <c r="DF329" s="753"/>
      <c r="DG329" s="753"/>
      <c r="DH329" s="753"/>
      <c r="DI329" s="753"/>
      <c r="DJ329" s="753"/>
      <c r="DK329" s="753"/>
      <c r="DL329" s="753"/>
      <c r="DN329" s="775"/>
    </row>
    <row r="330" spans="1:118" s="758" customFormat="1">
      <c r="A330" s="825"/>
      <c r="B330" s="825"/>
      <c r="C330" s="825"/>
      <c r="D330" s="825"/>
      <c r="E330" s="825"/>
      <c r="F330" s="825"/>
      <c r="G330" s="825"/>
      <c r="H330" s="825"/>
      <c r="I330" s="825"/>
      <c r="J330" s="1039"/>
      <c r="K330" s="1039"/>
      <c r="L330" s="1039"/>
      <c r="M330" s="1039"/>
      <c r="N330" s="1039"/>
      <c r="O330" s="1090"/>
      <c r="P330" s="1039"/>
      <c r="Q330" s="1039"/>
      <c r="R330" s="1039"/>
      <c r="S330" s="1039"/>
      <c r="T330" s="1039"/>
      <c r="U330" s="1039"/>
      <c r="V330" s="1039"/>
      <c r="W330" s="1039"/>
      <c r="X330" s="1039"/>
      <c r="Y330" s="1039"/>
      <c r="Z330" s="1039"/>
      <c r="AI330" s="1034"/>
      <c r="AJ330" s="1034"/>
      <c r="AK330" s="1034"/>
      <c r="AL330" s="1034"/>
      <c r="AM330" s="1034"/>
      <c r="AN330" s="1034"/>
      <c r="AO330" s="1034"/>
      <c r="CN330" s="753"/>
      <c r="CO330" s="753"/>
      <c r="CP330" s="753"/>
      <c r="CQ330" s="753"/>
      <c r="CR330" s="753"/>
      <c r="CS330" s="753"/>
      <c r="CT330" s="753"/>
      <c r="CU330" s="753"/>
      <c r="CV330" s="753"/>
      <c r="CW330" s="753"/>
      <c r="CX330" s="753"/>
      <c r="CY330" s="753"/>
      <c r="CZ330" s="753"/>
      <c r="DA330" s="753"/>
      <c r="DB330" s="753"/>
      <c r="DC330" s="753"/>
      <c r="DD330" s="753"/>
      <c r="DE330" s="753"/>
      <c r="DF330" s="753"/>
      <c r="DG330" s="753"/>
      <c r="DH330" s="753"/>
      <c r="DI330" s="753"/>
      <c r="DJ330" s="753"/>
      <c r="DK330" s="753"/>
      <c r="DL330" s="753"/>
      <c r="DN330" s="775"/>
    </row>
    <row r="331" spans="1:118" s="758" customFormat="1">
      <c r="A331" s="825"/>
      <c r="B331" s="825"/>
      <c r="C331" s="825"/>
      <c r="D331" s="825"/>
      <c r="E331" s="825"/>
      <c r="F331" s="825"/>
      <c r="G331" s="825"/>
      <c r="H331" s="825"/>
      <c r="I331" s="825"/>
      <c r="J331" s="1039"/>
      <c r="K331" s="1039"/>
      <c r="L331" s="1039"/>
      <c r="M331" s="1039"/>
      <c r="N331" s="1039"/>
      <c r="O331" s="1090"/>
      <c r="P331" s="1039"/>
      <c r="Q331" s="1039"/>
      <c r="R331" s="1039"/>
      <c r="S331" s="1039"/>
      <c r="T331" s="1039"/>
      <c r="U331" s="1039"/>
      <c r="V331" s="1039"/>
      <c r="W331" s="1039"/>
      <c r="X331" s="1039"/>
      <c r="Y331" s="1039"/>
      <c r="Z331" s="1039"/>
      <c r="AI331" s="1034"/>
      <c r="AJ331" s="1034"/>
      <c r="AK331" s="1034"/>
      <c r="AL331" s="1034"/>
      <c r="AM331" s="1034"/>
      <c r="AN331" s="1034"/>
      <c r="AO331" s="1034"/>
      <c r="CN331" s="753"/>
      <c r="CO331" s="753"/>
      <c r="CP331" s="753"/>
      <c r="CQ331" s="753"/>
      <c r="CR331" s="753"/>
      <c r="CS331" s="753"/>
      <c r="CT331" s="753"/>
      <c r="CU331" s="753"/>
      <c r="CV331" s="753"/>
      <c r="CW331" s="753"/>
      <c r="CX331" s="753"/>
      <c r="CY331" s="753"/>
      <c r="CZ331" s="753"/>
      <c r="DA331" s="753"/>
      <c r="DB331" s="753"/>
      <c r="DC331" s="753"/>
      <c r="DD331" s="753"/>
      <c r="DE331" s="753"/>
      <c r="DF331" s="753"/>
      <c r="DG331" s="753"/>
      <c r="DH331" s="753"/>
      <c r="DI331" s="753"/>
      <c r="DJ331" s="753"/>
      <c r="DK331" s="753"/>
      <c r="DL331" s="753"/>
      <c r="DN331" s="775"/>
    </row>
    <row r="332" spans="1:118" s="758" customFormat="1">
      <c r="A332" s="825"/>
      <c r="B332" s="825"/>
      <c r="C332" s="825"/>
      <c r="D332" s="825"/>
      <c r="E332" s="825"/>
      <c r="F332" s="825"/>
      <c r="G332" s="825"/>
      <c r="H332" s="825"/>
      <c r="I332" s="825"/>
      <c r="J332" s="1039"/>
      <c r="K332" s="1039"/>
      <c r="L332" s="1039"/>
      <c r="M332" s="1039"/>
      <c r="N332" s="1039"/>
      <c r="O332" s="1090"/>
      <c r="P332" s="1039"/>
      <c r="Q332" s="1039"/>
      <c r="R332" s="1039"/>
      <c r="S332" s="1039"/>
      <c r="T332" s="1039"/>
      <c r="U332" s="1039"/>
      <c r="V332" s="1039"/>
      <c r="W332" s="1039"/>
      <c r="X332" s="1039"/>
      <c r="Y332" s="1039"/>
      <c r="Z332" s="1039"/>
      <c r="AI332" s="1034"/>
      <c r="AJ332" s="1034"/>
      <c r="AK332" s="1034"/>
      <c r="AL332" s="1034"/>
      <c r="AM332" s="1034"/>
      <c r="AN332" s="1034"/>
      <c r="AO332" s="1034"/>
      <c r="CN332" s="753"/>
      <c r="CO332" s="753"/>
      <c r="CP332" s="753"/>
      <c r="CQ332" s="753"/>
      <c r="CR332" s="753"/>
      <c r="CS332" s="753"/>
      <c r="CT332" s="753"/>
      <c r="CU332" s="753"/>
      <c r="CV332" s="753"/>
      <c r="CW332" s="753"/>
      <c r="CX332" s="753"/>
      <c r="CY332" s="753"/>
      <c r="CZ332" s="753"/>
      <c r="DA332" s="753"/>
      <c r="DB332" s="753"/>
      <c r="DC332" s="753"/>
      <c r="DD332" s="753"/>
      <c r="DE332" s="753"/>
      <c r="DF332" s="753"/>
      <c r="DG332" s="753"/>
      <c r="DH332" s="753"/>
      <c r="DI332" s="753"/>
      <c r="DJ332" s="753"/>
      <c r="DK332" s="753"/>
      <c r="DL332" s="753"/>
      <c r="DN332" s="775"/>
    </row>
    <row r="333" spans="1:118" s="758" customFormat="1">
      <c r="A333" s="825"/>
      <c r="B333" s="825"/>
      <c r="C333" s="825"/>
      <c r="D333" s="825"/>
      <c r="E333" s="825"/>
      <c r="F333" s="825"/>
      <c r="G333" s="825"/>
      <c r="H333" s="825"/>
      <c r="I333" s="825"/>
      <c r="J333" s="1039"/>
      <c r="K333" s="1039"/>
      <c r="L333" s="1039"/>
      <c r="M333" s="1039"/>
      <c r="N333" s="1039"/>
      <c r="O333" s="1090"/>
      <c r="P333" s="1039"/>
      <c r="Q333" s="1039"/>
      <c r="R333" s="1039"/>
      <c r="S333" s="1039"/>
      <c r="T333" s="1039"/>
      <c r="U333" s="1039"/>
      <c r="V333" s="1039"/>
      <c r="W333" s="1039"/>
      <c r="X333" s="1039"/>
      <c r="Y333" s="1039"/>
      <c r="Z333" s="1039"/>
      <c r="AI333" s="1034"/>
      <c r="AJ333" s="1034"/>
      <c r="AK333" s="1034"/>
      <c r="AL333" s="1034"/>
      <c r="AM333" s="1034"/>
      <c r="AN333" s="1034"/>
      <c r="AO333" s="1034"/>
      <c r="CN333" s="753"/>
      <c r="CO333" s="753"/>
      <c r="CP333" s="753"/>
      <c r="CQ333" s="753"/>
      <c r="CR333" s="753"/>
      <c r="CS333" s="753"/>
      <c r="CT333" s="753"/>
      <c r="CU333" s="753"/>
      <c r="CV333" s="753"/>
      <c r="CW333" s="753"/>
      <c r="CX333" s="753"/>
      <c r="CY333" s="753"/>
      <c r="CZ333" s="753"/>
      <c r="DA333" s="753"/>
      <c r="DB333" s="753"/>
      <c r="DC333" s="753"/>
      <c r="DD333" s="753"/>
      <c r="DE333" s="753"/>
      <c r="DF333" s="753"/>
      <c r="DG333" s="753"/>
      <c r="DH333" s="753"/>
      <c r="DI333" s="753"/>
      <c r="DJ333" s="753"/>
      <c r="DK333" s="753"/>
      <c r="DL333" s="753"/>
      <c r="DN333" s="775"/>
    </row>
    <row r="334" spans="1:118" s="758" customFormat="1">
      <c r="A334" s="825"/>
      <c r="B334" s="825"/>
      <c r="C334" s="825"/>
      <c r="D334" s="825"/>
      <c r="E334" s="825"/>
      <c r="F334" s="825"/>
      <c r="G334" s="825"/>
      <c r="H334" s="825"/>
      <c r="I334" s="825"/>
      <c r="J334" s="1039"/>
      <c r="K334" s="1039"/>
      <c r="L334" s="1039"/>
      <c r="M334" s="1039"/>
      <c r="N334" s="1039"/>
      <c r="O334" s="1090"/>
      <c r="P334" s="1039"/>
      <c r="Q334" s="1039"/>
      <c r="R334" s="1039"/>
      <c r="S334" s="1039"/>
      <c r="T334" s="1039"/>
      <c r="U334" s="1039"/>
      <c r="V334" s="1039"/>
      <c r="W334" s="1039"/>
      <c r="X334" s="1039"/>
      <c r="Y334" s="1039"/>
      <c r="Z334" s="1039"/>
      <c r="AI334" s="1034"/>
      <c r="AJ334" s="1034"/>
      <c r="AK334" s="1034"/>
      <c r="AL334" s="1034"/>
      <c r="AM334" s="1034"/>
      <c r="AN334" s="1034"/>
      <c r="AO334" s="1034"/>
      <c r="CN334" s="753"/>
      <c r="CO334" s="753"/>
      <c r="CP334" s="753"/>
      <c r="CQ334" s="753"/>
      <c r="CR334" s="753"/>
      <c r="CS334" s="753"/>
      <c r="CT334" s="753"/>
      <c r="CU334" s="753"/>
      <c r="CV334" s="753"/>
      <c r="CW334" s="753"/>
      <c r="CX334" s="753"/>
      <c r="CY334" s="753"/>
      <c r="CZ334" s="753"/>
      <c r="DA334" s="753"/>
      <c r="DB334" s="753"/>
      <c r="DC334" s="753"/>
      <c r="DD334" s="753"/>
      <c r="DE334" s="753"/>
      <c r="DF334" s="753"/>
      <c r="DG334" s="753"/>
      <c r="DH334" s="753"/>
      <c r="DI334" s="753"/>
      <c r="DJ334" s="753"/>
      <c r="DK334" s="753"/>
      <c r="DL334" s="753"/>
      <c r="DN334" s="775"/>
    </row>
    <row r="335" spans="1:118" s="758" customFormat="1">
      <c r="A335" s="825"/>
      <c r="B335" s="825"/>
      <c r="C335" s="825"/>
      <c r="D335" s="825"/>
      <c r="E335" s="825"/>
      <c r="F335" s="825"/>
      <c r="G335" s="825"/>
      <c r="H335" s="825"/>
      <c r="I335" s="825"/>
      <c r="J335" s="1039"/>
      <c r="K335" s="1039"/>
      <c r="L335" s="1039"/>
      <c r="M335" s="1039"/>
      <c r="N335" s="1039"/>
      <c r="O335" s="1090"/>
      <c r="P335" s="1039"/>
      <c r="Q335" s="1039"/>
      <c r="R335" s="1039"/>
      <c r="S335" s="1039"/>
      <c r="T335" s="1039"/>
      <c r="U335" s="1039"/>
      <c r="V335" s="1039"/>
      <c r="W335" s="1039"/>
      <c r="X335" s="1039"/>
      <c r="Y335" s="1039"/>
      <c r="Z335" s="1039"/>
      <c r="AI335" s="1034"/>
      <c r="AJ335" s="1034"/>
      <c r="AK335" s="1034"/>
      <c r="AL335" s="1034"/>
      <c r="AM335" s="1034"/>
      <c r="AN335" s="1034"/>
      <c r="AO335" s="1034"/>
      <c r="CN335" s="753"/>
      <c r="CO335" s="753"/>
      <c r="CP335" s="753"/>
      <c r="CQ335" s="753"/>
      <c r="CR335" s="753"/>
      <c r="CS335" s="753"/>
      <c r="CT335" s="753"/>
      <c r="CU335" s="753"/>
      <c r="CV335" s="753"/>
      <c r="CW335" s="753"/>
      <c r="CX335" s="753"/>
      <c r="CY335" s="753"/>
      <c r="CZ335" s="753"/>
      <c r="DA335" s="753"/>
      <c r="DB335" s="753"/>
      <c r="DC335" s="753"/>
      <c r="DD335" s="753"/>
      <c r="DE335" s="753"/>
      <c r="DF335" s="753"/>
      <c r="DG335" s="753"/>
      <c r="DH335" s="753"/>
      <c r="DI335" s="753"/>
      <c r="DJ335" s="753"/>
      <c r="DK335" s="753"/>
      <c r="DL335" s="753"/>
      <c r="DN335" s="775"/>
    </row>
    <row r="336" spans="1:118" s="758" customFormat="1">
      <c r="A336" s="825"/>
      <c r="B336" s="825"/>
      <c r="C336" s="825"/>
      <c r="D336" s="825"/>
      <c r="E336" s="825"/>
      <c r="F336" s="825"/>
      <c r="G336" s="825"/>
      <c r="H336" s="825"/>
      <c r="I336" s="825"/>
      <c r="J336" s="1039"/>
      <c r="K336" s="1039"/>
      <c r="L336" s="1039"/>
      <c r="M336" s="1039"/>
      <c r="N336" s="1039"/>
      <c r="O336" s="1090"/>
      <c r="P336" s="1039"/>
      <c r="Q336" s="1039"/>
      <c r="R336" s="1039"/>
      <c r="S336" s="1039"/>
      <c r="T336" s="1039"/>
      <c r="U336" s="1039"/>
      <c r="V336" s="1039"/>
      <c r="W336" s="1039"/>
      <c r="X336" s="1039"/>
      <c r="Y336" s="1039"/>
      <c r="Z336" s="1039"/>
      <c r="AI336" s="1034"/>
      <c r="AJ336" s="1034"/>
      <c r="AK336" s="1034"/>
      <c r="AL336" s="1034"/>
      <c r="AM336" s="1034"/>
      <c r="AN336" s="1034"/>
      <c r="AO336" s="1034"/>
      <c r="CN336" s="753"/>
      <c r="CO336" s="753"/>
      <c r="CP336" s="753"/>
      <c r="CQ336" s="753"/>
      <c r="CR336" s="753"/>
      <c r="CS336" s="753"/>
      <c r="CT336" s="753"/>
      <c r="CU336" s="753"/>
      <c r="CV336" s="753"/>
      <c r="CW336" s="753"/>
      <c r="CX336" s="753"/>
      <c r="CY336" s="753"/>
      <c r="CZ336" s="753"/>
      <c r="DA336" s="753"/>
      <c r="DB336" s="753"/>
      <c r="DC336" s="753"/>
      <c r="DD336" s="753"/>
      <c r="DE336" s="753"/>
      <c r="DF336" s="753"/>
      <c r="DG336" s="753"/>
      <c r="DH336" s="753"/>
      <c r="DI336" s="753"/>
      <c r="DJ336" s="753"/>
      <c r="DK336" s="753"/>
      <c r="DL336" s="753"/>
      <c r="DN336" s="775"/>
    </row>
    <row r="337" spans="1:118" s="758" customFormat="1">
      <c r="A337" s="825"/>
      <c r="B337" s="825"/>
      <c r="C337" s="825"/>
      <c r="D337" s="825"/>
      <c r="E337" s="825"/>
      <c r="F337" s="825"/>
      <c r="G337" s="825"/>
      <c r="H337" s="825"/>
      <c r="I337" s="825"/>
      <c r="J337" s="1039"/>
      <c r="K337" s="1039"/>
      <c r="L337" s="1039"/>
      <c r="M337" s="1039"/>
      <c r="N337" s="1039"/>
      <c r="O337" s="1090"/>
      <c r="P337" s="1039"/>
      <c r="Q337" s="1039"/>
      <c r="R337" s="1039"/>
      <c r="S337" s="1039"/>
      <c r="T337" s="1039"/>
      <c r="U337" s="1039"/>
      <c r="V337" s="1039"/>
      <c r="W337" s="1039"/>
      <c r="X337" s="1039"/>
      <c r="Y337" s="1039"/>
      <c r="Z337" s="1039"/>
      <c r="AI337" s="1034"/>
      <c r="AJ337" s="1034"/>
      <c r="AK337" s="1034"/>
      <c r="AL337" s="1034"/>
      <c r="AM337" s="1034"/>
      <c r="AN337" s="1034"/>
      <c r="AO337" s="1034"/>
      <c r="CN337" s="753"/>
      <c r="CO337" s="753"/>
      <c r="CP337" s="753"/>
      <c r="CQ337" s="753"/>
      <c r="CR337" s="753"/>
      <c r="CS337" s="753"/>
      <c r="CT337" s="753"/>
      <c r="CU337" s="753"/>
      <c r="CV337" s="753"/>
      <c r="CW337" s="753"/>
      <c r="CX337" s="753"/>
      <c r="CY337" s="753"/>
      <c r="CZ337" s="753"/>
      <c r="DA337" s="753"/>
      <c r="DB337" s="753"/>
      <c r="DC337" s="753"/>
      <c r="DD337" s="753"/>
      <c r="DE337" s="753"/>
      <c r="DF337" s="753"/>
      <c r="DG337" s="753"/>
      <c r="DH337" s="753"/>
      <c r="DI337" s="753"/>
      <c r="DJ337" s="753"/>
      <c r="DK337" s="753"/>
      <c r="DL337" s="753"/>
      <c r="DN337" s="775"/>
    </row>
    <row r="338" spans="1:118" s="758" customFormat="1">
      <c r="A338" s="825"/>
      <c r="B338" s="825"/>
      <c r="C338" s="825"/>
      <c r="D338" s="825"/>
      <c r="E338" s="825"/>
      <c r="F338" s="825"/>
      <c r="G338" s="825"/>
      <c r="H338" s="825"/>
      <c r="I338" s="825"/>
      <c r="J338" s="1039"/>
      <c r="K338" s="1039"/>
      <c r="L338" s="1039"/>
      <c r="M338" s="1039"/>
      <c r="N338" s="1039"/>
      <c r="O338" s="1090"/>
      <c r="P338" s="1039"/>
      <c r="Q338" s="1039"/>
      <c r="R338" s="1039"/>
      <c r="S338" s="1039"/>
      <c r="T338" s="1039"/>
      <c r="U338" s="1039"/>
      <c r="V338" s="1039"/>
      <c r="W338" s="1039"/>
      <c r="X338" s="1039"/>
      <c r="Y338" s="1039"/>
      <c r="Z338" s="1039"/>
      <c r="AI338" s="1034"/>
      <c r="AJ338" s="1034"/>
      <c r="AK338" s="1034"/>
      <c r="AL338" s="1034"/>
      <c r="AM338" s="1034"/>
      <c r="AN338" s="1034"/>
      <c r="AO338" s="1034"/>
      <c r="CN338" s="753"/>
      <c r="CO338" s="753"/>
      <c r="CP338" s="753"/>
      <c r="CQ338" s="753"/>
      <c r="CR338" s="753"/>
      <c r="CS338" s="753"/>
      <c r="CT338" s="753"/>
      <c r="CU338" s="753"/>
      <c r="CV338" s="753"/>
      <c r="CW338" s="753"/>
      <c r="CX338" s="753"/>
      <c r="CY338" s="753"/>
      <c r="CZ338" s="753"/>
      <c r="DA338" s="753"/>
      <c r="DB338" s="753"/>
      <c r="DC338" s="753"/>
      <c r="DD338" s="753"/>
      <c r="DE338" s="753"/>
      <c r="DF338" s="753"/>
      <c r="DG338" s="753"/>
      <c r="DH338" s="753"/>
      <c r="DI338" s="753"/>
      <c r="DJ338" s="753"/>
      <c r="DK338" s="753"/>
      <c r="DL338" s="753"/>
      <c r="DN338" s="775"/>
    </row>
    <row r="339" spans="1:118" s="758" customFormat="1">
      <c r="A339" s="825"/>
      <c r="B339" s="825"/>
      <c r="C339" s="825"/>
      <c r="D339" s="825"/>
      <c r="E339" s="825"/>
      <c r="F339" s="825"/>
      <c r="G339" s="825"/>
      <c r="H339" s="825"/>
      <c r="I339" s="825"/>
      <c r="J339" s="1039"/>
      <c r="K339" s="1039"/>
      <c r="L339" s="1039"/>
      <c r="M339" s="1039"/>
      <c r="N339" s="1039"/>
      <c r="O339" s="1090"/>
      <c r="P339" s="1039"/>
      <c r="Q339" s="1039"/>
      <c r="R339" s="1039"/>
      <c r="S339" s="1039"/>
      <c r="T339" s="1039"/>
      <c r="U339" s="1039"/>
      <c r="V339" s="1039"/>
      <c r="W339" s="1039"/>
      <c r="X339" s="1039"/>
      <c r="Y339" s="1039"/>
      <c r="Z339" s="1039"/>
      <c r="AI339" s="1034"/>
      <c r="AJ339" s="1034"/>
      <c r="AK339" s="1034"/>
      <c r="AL339" s="1034"/>
      <c r="AM339" s="1034"/>
      <c r="AN339" s="1034"/>
      <c r="AO339" s="1034"/>
      <c r="CN339" s="753"/>
      <c r="CO339" s="753"/>
      <c r="CP339" s="753"/>
      <c r="CQ339" s="753"/>
      <c r="CR339" s="753"/>
      <c r="CS339" s="753"/>
      <c r="CT339" s="753"/>
      <c r="CU339" s="753"/>
      <c r="CV339" s="753"/>
      <c r="CW339" s="753"/>
      <c r="CX339" s="753"/>
      <c r="CY339" s="753"/>
      <c r="CZ339" s="753"/>
      <c r="DA339" s="753"/>
      <c r="DB339" s="753"/>
      <c r="DC339" s="753"/>
      <c r="DD339" s="753"/>
      <c r="DE339" s="753"/>
      <c r="DF339" s="753"/>
      <c r="DG339" s="753"/>
      <c r="DH339" s="753"/>
      <c r="DI339" s="753"/>
      <c r="DJ339" s="753"/>
      <c r="DK339" s="753"/>
      <c r="DL339" s="753"/>
      <c r="DN339" s="775"/>
    </row>
    <row r="340" spans="1:118" s="758" customFormat="1">
      <c r="A340" s="825"/>
      <c r="B340" s="825"/>
      <c r="C340" s="825"/>
      <c r="D340" s="825"/>
      <c r="E340" s="825"/>
      <c r="F340" s="825"/>
      <c r="G340" s="825"/>
      <c r="H340" s="825"/>
      <c r="I340" s="825"/>
      <c r="J340" s="1039"/>
      <c r="K340" s="1039"/>
      <c r="L340" s="1039"/>
      <c r="M340" s="1039"/>
      <c r="N340" s="1039"/>
      <c r="O340" s="1090"/>
      <c r="P340" s="1039"/>
      <c r="Q340" s="1039"/>
      <c r="R340" s="1039"/>
      <c r="S340" s="1039"/>
      <c r="T340" s="1039"/>
      <c r="U340" s="1039"/>
      <c r="V340" s="1039"/>
      <c r="W340" s="1039"/>
      <c r="X340" s="1039"/>
      <c r="Y340" s="1039"/>
      <c r="Z340" s="1039"/>
      <c r="AI340" s="1034"/>
      <c r="AJ340" s="1034"/>
      <c r="AK340" s="1034"/>
      <c r="AL340" s="1034"/>
      <c r="AM340" s="1034"/>
      <c r="AN340" s="1034"/>
      <c r="AO340" s="1034"/>
      <c r="CN340" s="753"/>
      <c r="CO340" s="753"/>
      <c r="CP340" s="753"/>
      <c r="CQ340" s="753"/>
      <c r="CR340" s="753"/>
      <c r="CS340" s="753"/>
      <c r="CT340" s="753"/>
      <c r="CU340" s="753"/>
      <c r="CV340" s="753"/>
      <c r="CW340" s="753"/>
      <c r="CX340" s="753"/>
      <c r="CY340" s="753"/>
      <c r="CZ340" s="753"/>
      <c r="DA340" s="753"/>
      <c r="DB340" s="753"/>
      <c r="DC340" s="753"/>
      <c r="DD340" s="753"/>
      <c r="DE340" s="753"/>
      <c r="DF340" s="753"/>
      <c r="DG340" s="753"/>
      <c r="DH340" s="753"/>
      <c r="DI340" s="753"/>
      <c r="DJ340" s="753"/>
      <c r="DK340" s="753"/>
      <c r="DL340" s="753"/>
      <c r="DN340" s="775"/>
    </row>
    <row r="341" spans="1:118" s="758" customFormat="1">
      <c r="A341" s="825"/>
      <c r="B341" s="825"/>
      <c r="C341" s="825"/>
      <c r="D341" s="825"/>
      <c r="E341" s="825"/>
      <c r="F341" s="825"/>
      <c r="G341" s="825"/>
      <c r="H341" s="825"/>
      <c r="I341" s="825"/>
      <c r="J341" s="1039"/>
      <c r="K341" s="1039"/>
      <c r="L341" s="1039"/>
      <c r="M341" s="1039"/>
      <c r="N341" s="1039"/>
      <c r="O341" s="1090"/>
      <c r="P341" s="1039"/>
      <c r="Q341" s="1039"/>
      <c r="R341" s="1039"/>
      <c r="S341" s="1039"/>
      <c r="T341" s="1039"/>
      <c r="U341" s="1039"/>
      <c r="V341" s="1039"/>
      <c r="W341" s="1039"/>
      <c r="X341" s="1039"/>
      <c r="Y341" s="1039"/>
      <c r="Z341" s="1039"/>
      <c r="AI341" s="1034"/>
      <c r="AJ341" s="1034"/>
      <c r="AK341" s="1034"/>
      <c r="AL341" s="1034"/>
      <c r="AM341" s="1034"/>
      <c r="AN341" s="1034"/>
      <c r="AO341" s="1034"/>
      <c r="CN341" s="753"/>
      <c r="CO341" s="753"/>
      <c r="CP341" s="753"/>
      <c r="CQ341" s="753"/>
      <c r="CR341" s="753"/>
      <c r="CS341" s="753"/>
      <c r="CT341" s="753"/>
      <c r="CU341" s="753"/>
      <c r="CV341" s="753"/>
      <c r="CW341" s="753"/>
      <c r="CX341" s="753"/>
      <c r="CY341" s="753"/>
      <c r="CZ341" s="753"/>
      <c r="DA341" s="753"/>
      <c r="DB341" s="753"/>
      <c r="DC341" s="753"/>
      <c r="DD341" s="753"/>
      <c r="DE341" s="753"/>
      <c r="DF341" s="753"/>
      <c r="DG341" s="753"/>
      <c r="DH341" s="753"/>
      <c r="DI341" s="753"/>
      <c r="DJ341" s="753"/>
      <c r="DK341" s="753"/>
      <c r="DL341" s="753"/>
      <c r="DN341" s="775"/>
    </row>
    <row r="342" spans="1:118" s="758" customFormat="1">
      <c r="A342" s="825"/>
      <c r="B342" s="825"/>
      <c r="C342" s="825"/>
      <c r="D342" s="825"/>
      <c r="E342" s="825"/>
      <c r="F342" s="825"/>
      <c r="G342" s="825"/>
      <c r="H342" s="825"/>
      <c r="I342" s="825"/>
      <c r="J342" s="1039"/>
      <c r="K342" s="1039"/>
      <c r="L342" s="1039"/>
      <c r="M342" s="1039"/>
      <c r="N342" s="1039"/>
      <c r="O342" s="1090"/>
      <c r="P342" s="1039"/>
      <c r="Q342" s="1039"/>
      <c r="R342" s="1039"/>
      <c r="S342" s="1039"/>
      <c r="T342" s="1039"/>
      <c r="U342" s="1039"/>
      <c r="V342" s="1039"/>
      <c r="W342" s="1039"/>
      <c r="X342" s="1039"/>
      <c r="Y342" s="1039"/>
      <c r="Z342" s="1039"/>
      <c r="AI342" s="1034"/>
      <c r="AJ342" s="1034"/>
      <c r="AK342" s="1034"/>
      <c r="AL342" s="1034"/>
      <c r="AM342" s="1034"/>
      <c r="AN342" s="1034"/>
      <c r="AO342" s="1034"/>
      <c r="CN342" s="753"/>
      <c r="CO342" s="753"/>
      <c r="CP342" s="753"/>
      <c r="CQ342" s="753"/>
      <c r="CR342" s="753"/>
      <c r="CS342" s="753"/>
      <c r="CT342" s="753"/>
      <c r="CU342" s="753"/>
      <c r="CV342" s="753"/>
      <c r="CW342" s="753"/>
      <c r="CX342" s="753"/>
      <c r="CY342" s="753"/>
      <c r="CZ342" s="753"/>
      <c r="DA342" s="753"/>
      <c r="DB342" s="753"/>
      <c r="DC342" s="753"/>
      <c r="DD342" s="753"/>
      <c r="DE342" s="753"/>
      <c r="DF342" s="753"/>
      <c r="DG342" s="753"/>
      <c r="DH342" s="753"/>
      <c r="DI342" s="753"/>
      <c r="DJ342" s="753"/>
      <c r="DK342" s="753"/>
      <c r="DL342" s="753"/>
      <c r="DN342" s="775"/>
    </row>
    <row r="343" spans="1:118" s="758" customFormat="1">
      <c r="A343" s="825"/>
      <c r="B343" s="825"/>
      <c r="C343" s="825"/>
      <c r="D343" s="825"/>
      <c r="E343" s="825"/>
      <c r="F343" s="825"/>
      <c r="G343" s="825"/>
      <c r="H343" s="825"/>
      <c r="I343" s="825"/>
      <c r="J343" s="1039"/>
      <c r="K343" s="1039"/>
      <c r="L343" s="1039"/>
      <c r="M343" s="1039"/>
      <c r="N343" s="1039"/>
      <c r="O343" s="1090"/>
      <c r="P343" s="1039"/>
      <c r="Q343" s="1039"/>
      <c r="R343" s="1039"/>
      <c r="S343" s="1039"/>
      <c r="T343" s="1039"/>
      <c r="U343" s="1039"/>
      <c r="V343" s="1039"/>
      <c r="W343" s="1039"/>
      <c r="X343" s="1039"/>
      <c r="Y343" s="1039"/>
      <c r="Z343" s="1039"/>
      <c r="AI343" s="1034"/>
      <c r="AJ343" s="1034"/>
      <c r="AK343" s="1034"/>
      <c r="AL343" s="1034"/>
      <c r="AM343" s="1034"/>
      <c r="AN343" s="1034"/>
      <c r="AO343" s="1034"/>
      <c r="CN343" s="753"/>
      <c r="CO343" s="753"/>
      <c r="CP343" s="753"/>
      <c r="CQ343" s="753"/>
      <c r="CR343" s="753"/>
      <c r="CS343" s="753"/>
      <c r="CT343" s="753"/>
      <c r="CU343" s="753"/>
      <c r="CV343" s="753"/>
      <c r="CW343" s="753"/>
      <c r="CX343" s="753"/>
      <c r="CY343" s="753"/>
      <c r="CZ343" s="753"/>
      <c r="DA343" s="753"/>
      <c r="DB343" s="753"/>
      <c r="DC343" s="753"/>
      <c r="DD343" s="753"/>
      <c r="DE343" s="753"/>
      <c r="DF343" s="753"/>
      <c r="DG343" s="753"/>
      <c r="DH343" s="753"/>
      <c r="DI343" s="753"/>
      <c r="DJ343" s="753"/>
      <c r="DK343" s="753"/>
      <c r="DL343" s="753"/>
      <c r="DN343" s="775"/>
    </row>
    <row r="344" spans="1:118" s="758" customFormat="1">
      <c r="A344" s="825"/>
      <c r="B344" s="825"/>
      <c r="C344" s="825"/>
      <c r="D344" s="825"/>
      <c r="E344" s="825"/>
      <c r="F344" s="825"/>
      <c r="G344" s="825"/>
      <c r="H344" s="825"/>
      <c r="I344" s="825"/>
      <c r="J344" s="1039"/>
      <c r="K344" s="1039"/>
      <c r="L344" s="1039"/>
      <c r="M344" s="1039"/>
      <c r="N344" s="1039"/>
      <c r="O344" s="1090"/>
      <c r="P344" s="1039"/>
      <c r="Q344" s="1039"/>
      <c r="R344" s="1039"/>
      <c r="S344" s="1039"/>
      <c r="T344" s="1039"/>
      <c r="U344" s="1039"/>
      <c r="V344" s="1039"/>
      <c r="W344" s="1039"/>
      <c r="X344" s="1039"/>
      <c r="Y344" s="1039"/>
      <c r="Z344" s="1039"/>
      <c r="AI344" s="1034"/>
      <c r="AJ344" s="1034"/>
      <c r="AK344" s="1034"/>
      <c r="AL344" s="1034"/>
      <c r="AM344" s="1034"/>
      <c r="AN344" s="1034"/>
      <c r="AO344" s="1034"/>
      <c r="CN344" s="753"/>
      <c r="CO344" s="753"/>
      <c r="CP344" s="753"/>
      <c r="CQ344" s="753"/>
      <c r="CR344" s="753"/>
      <c r="CS344" s="753"/>
      <c r="CT344" s="753"/>
      <c r="CU344" s="753"/>
      <c r="CV344" s="753"/>
      <c r="CW344" s="753"/>
      <c r="CX344" s="753"/>
      <c r="CY344" s="753"/>
      <c r="CZ344" s="753"/>
      <c r="DA344" s="753"/>
      <c r="DB344" s="753"/>
      <c r="DC344" s="753"/>
      <c r="DD344" s="753"/>
      <c r="DE344" s="753"/>
      <c r="DF344" s="753"/>
      <c r="DG344" s="753"/>
      <c r="DH344" s="753"/>
      <c r="DI344" s="753"/>
      <c r="DJ344" s="753"/>
      <c r="DK344" s="753"/>
      <c r="DL344" s="753"/>
      <c r="DN344" s="775"/>
    </row>
    <row r="345" spans="1:118" s="758" customFormat="1">
      <c r="A345" s="825"/>
      <c r="B345" s="825"/>
      <c r="C345" s="825"/>
      <c r="D345" s="825"/>
      <c r="E345" s="825"/>
      <c r="F345" s="825"/>
      <c r="G345" s="825"/>
      <c r="H345" s="825"/>
      <c r="I345" s="825"/>
      <c r="J345" s="1039"/>
      <c r="K345" s="1039"/>
      <c r="L345" s="1039"/>
      <c r="M345" s="1039"/>
      <c r="N345" s="1039"/>
      <c r="O345" s="1090"/>
      <c r="P345" s="1039"/>
      <c r="Q345" s="1039"/>
      <c r="R345" s="1039"/>
      <c r="S345" s="1039"/>
      <c r="T345" s="1039"/>
      <c r="U345" s="1039"/>
      <c r="V345" s="1039"/>
      <c r="W345" s="1039"/>
      <c r="X345" s="1039"/>
      <c r="Y345" s="1039"/>
      <c r="Z345" s="1039"/>
      <c r="AI345" s="1034"/>
      <c r="AJ345" s="1034"/>
      <c r="AK345" s="1034"/>
      <c r="AL345" s="1034"/>
      <c r="AM345" s="1034"/>
      <c r="AN345" s="1034"/>
      <c r="AO345" s="1034"/>
      <c r="CN345" s="753"/>
      <c r="CO345" s="753"/>
      <c r="CP345" s="753"/>
      <c r="CQ345" s="753"/>
      <c r="CR345" s="753"/>
      <c r="CS345" s="753"/>
      <c r="CT345" s="753"/>
      <c r="CU345" s="753"/>
      <c r="CV345" s="753"/>
      <c r="CW345" s="753"/>
      <c r="CX345" s="753"/>
      <c r="CY345" s="753"/>
      <c r="CZ345" s="753"/>
      <c r="DA345" s="753"/>
      <c r="DB345" s="753"/>
      <c r="DC345" s="753"/>
      <c r="DD345" s="753"/>
      <c r="DE345" s="753"/>
      <c r="DF345" s="753"/>
      <c r="DG345" s="753"/>
      <c r="DH345" s="753"/>
      <c r="DI345" s="753"/>
      <c r="DJ345" s="753"/>
      <c r="DK345" s="753"/>
      <c r="DL345" s="753"/>
      <c r="DN345" s="775"/>
    </row>
    <row r="346" spans="1:118" s="758" customFormat="1">
      <c r="A346" s="825"/>
      <c r="B346" s="825"/>
      <c r="C346" s="825"/>
      <c r="D346" s="825"/>
      <c r="E346" s="825"/>
      <c r="F346" s="825"/>
      <c r="G346" s="825"/>
      <c r="H346" s="825"/>
      <c r="I346" s="825"/>
      <c r="J346" s="1039"/>
      <c r="K346" s="1039"/>
      <c r="L346" s="1039"/>
      <c r="M346" s="1039"/>
      <c r="N346" s="1039"/>
      <c r="O346" s="1090"/>
      <c r="P346" s="1039"/>
      <c r="Q346" s="1039"/>
      <c r="R346" s="1039"/>
      <c r="S346" s="1039"/>
      <c r="T346" s="1039"/>
      <c r="U346" s="1039"/>
      <c r="V346" s="1039"/>
      <c r="W346" s="1039"/>
      <c r="X346" s="1039"/>
      <c r="Y346" s="1039"/>
      <c r="Z346" s="1039"/>
      <c r="AI346" s="1034"/>
      <c r="AJ346" s="1034"/>
      <c r="AK346" s="1034"/>
      <c r="AL346" s="1034"/>
      <c r="AM346" s="1034"/>
      <c r="AN346" s="1034"/>
      <c r="AO346" s="1034"/>
      <c r="CN346" s="753"/>
      <c r="CO346" s="753"/>
      <c r="CP346" s="753"/>
      <c r="CQ346" s="753"/>
      <c r="CR346" s="753"/>
      <c r="CS346" s="753"/>
      <c r="CT346" s="753"/>
      <c r="CU346" s="753"/>
      <c r="CV346" s="753"/>
      <c r="CW346" s="753"/>
      <c r="CX346" s="753"/>
      <c r="CY346" s="753"/>
      <c r="CZ346" s="753"/>
      <c r="DA346" s="753"/>
      <c r="DB346" s="753"/>
      <c r="DC346" s="753"/>
      <c r="DD346" s="753"/>
      <c r="DE346" s="753"/>
      <c r="DF346" s="753"/>
      <c r="DG346" s="753"/>
      <c r="DH346" s="753"/>
      <c r="DI346" s="753"/>
      <c r="DJ346" s="753"/>
      <c r="DK346" s="753"/>
      <c r="DL346" s="753"/>
      <c r="DN346" s="775"/>
    </row>
    <row r="347" spans="1:118" s="758" customFormat="1">
      <c r="A347" s="825"/>
      <c r="B347" s="825"/>
      <c r="C347" s="825"/>
      <c r="D347" s="825"/>
      <c r="E347" s="825"/>
      <c r="F347" s="825"/>
      <c r="G347" s="825"/>
      <c r="H347" s="825"/>
      <c r="I347" s="825"/>
      <c r="J347" s="1039"/>
      <c r="K347" s="1039"/>
      <c r="L347" s="1039"/>
      <c r="M347" s="1039"/>
      <c r="N347" s="1039"/>
      <c r="O347" s="1090"/>
      <c r="P347" s="1039"/>
      <c r="Q347" s="1039"/>
      <c r="R347" s="1039"/>
      <c r="S347" s="1039"/>
      <c r="T347" s="1039"/>
      <c r="U347" s="1039"/>
      <c r="V347" s="1039"/>
      <c r="W347" s="1039"/>
      <c r="X347" s="1039"/>
      <c r="Y347" s="1039"/>
      <c r="Z347" s="1039"/>
      <c r="AI347" s="1034"/>
      <c r="AJ347" s="1034"/>
      <c r="AK347" s="1034"/>
      <c r="AL347" s="1034"/>
      <c r="AM347" s="1034"/>
      <c r="AN347" s="1034"/>
      <c r="AO347" s="1034"/>
      <c r="CN347" s="753"/>
      <c r="CO347" s="753"/>
      <c r="CP347" s="753"/>
      <c r="CQ347" s="753"/>
      <c r="CR347" s="753"/>
      <c r="CS347" s="753"/>
      <c r="CT347" s="753"/>
      <c r="CU347" s="753"/>
      <c r="CV347" s="753"/>
      <c r="CW347" s="753"/>
      <c r="CX347" s="753"/>
      <c r="CY347" s="753"/>
      <c r="CZ347" s="753"/>
      <c r="DA347" s="753"/>
      <c r="DB347" s="753"/>
      <c r="DC347" s="753"/>
      <c r="DD347" s="753"/>
      <c r="DE347" s="753"/>
      <c r="DF347" s="753"/>
      <c r="DG347" s="753"/>
      <c r="DH347" s="753"/>
      <c r="DI347" s="753"/>
      <c r="DJ347" s="753"/>
      <c r="DK347" s="753"/>
      <c r="DL347" s="753"/>
      <c r="DN347" s="775"/>
    </row>
    <row r="348" spans="1:118" s="758" customFormat="1">
      <c r="A348" s="825"/>
      <c r="B348" s="825"/>
      <c r="C348" s="825"/>
      <c r="D348" s="825"/>
      <c r="E348" s="825"/>
      <c r="F348" s="825"/>
      <c r="G348" s="825"/>
      <c r="H348" s="825"/>
      <c r="I348" s="825"/>
      <c r="J348" s="1039"/>
      <c r="K348" s="1039"/>
      <c r="L348" s="1039"/>
      <c r="M348" s="1039"/>
      <c r="N348" s="1039"/>
      <c r="O348" s="1090"/>
      <c r="P348" s="1039"/>
      <c r="Q348" s="1039"/>
      <c r="R348" s="1039"/>
      <c r="S348" s="1039"/>
      <c r="T348" s="1039"/>
      <c r="U348" s="1039"/>
      <c r="V348" s="1039"/>
      <c r="W348" s="1039"/>
      <c r="X348" s="1039"/>
      <c r="Y348" s="1039"/>
      <c r="Z348" s="1039"/>
      <c r="AI348" s="1034"/>
      <c r="AJ348" s="1034"/>
      <c r="AK348" s="1034"/>
      <c r="AL348" s="1034"/>
      <c r="AM348" s="1034"/>
      <c r="AN348" s="1034"/>
      <c r="AO348" s="1034"/>
      <c r="CN348" s="753"/>
      <c r="CO348" s="753"/>
      <c r="CP348" s="753"/>
      <c r="CQ348" s="753"/>
      <c r="CR348" s="753"/>
      <c r="CS348" s="753"/>
      <c r="CT348" s="753"/>
      <c r="CU348" s="753"/>
      <c r="CV348" s="753"/>
      <c r="CW348" s="753"/>
      <c r="CX348" s="753"/>
      <c r="CY348" s="753"/>
      <c r="CZ348" s="753"/>
      <c r="DA348" s="753"/>
      <c r="DB348" s="753"/>
      <c r="DC348" s="753"/>
      <c r="DD348" s="753"/>
      <c r="DE348" s="753"/>
      <c r="DF348" s="753"/>
      <c r="DG348" s="753"/>
      <c r="DH348" s="753"/>
      <c r="DI348" s="753"/>
      <c r="DJ348" s="753"/>
      <c r="DK348" s="753"/>
      <c r="DL348" s="753"/>
      <c r="DN348" s="775"/>
    </row>
    <row r="349" spans="1:118" s="758" customFormat="1">
      <c r="A349" s="825"/>
      <c r="B349" s="825"/>
      <c r="C349" s="825"/>
      <c r="D349" s="825"/>
      <c r="E349" s="825"/>
      <c r="F349" s="825"/>
      <c r="G349" s="825"/>
      <c r="H349" s="825"/>
      <c r="I349" s="825"/>
      <c r="J349" s="1039"/>
      <c r="K349" s="1039"/>
      <c r="L349" s="1039"/>
      <c r="M349" s="1039"/>
      <c r="N349" s="1039"/>
      <c r="O349" s="1090"/>
      <c r="P349" s="1039"/>
      <c r="Q349" s="1039"/>
      <c r="R349" s="1039"/>
      <c r="S349" s="1039"/>
      <c r="T349" s="1039"/>
      <c r="U349" s="1039"/>
      <c r="V349" s="1039"/>
      <c r="W349" s="1039"/>
      <c r="X349" s="1039"/>
      <c r="Y349" s="1039"/>
      <c r="Z349" s="1039"/>
      <c r="AI349" s="1034"/>
      <c r="AJ349" s="1034"/>
      <c r="AK349" s="1034"/>
      <c r="AL349" s="1034"/>
      <c r="AM349" s="1034"/>
      <c r="AN349" s="1034"/>
      <c r="AO349" s="1034"/>
      <c r="CN349" s="753"/>
      <c r="CO349" s="753"/>
      <c r="CP349" s="753"/>
      <c r="CQ349" s="753"/>
      <c r="CR349" s="753"/>
      <c r="CS349" s="753"/>
      <c r="CT349" s="753"/>
      <c r="CU349" s="753"/>
      <c r="CV349" s="753"/>
      <c r="CW349" s="753"/>
      <c r="CX349" s="753"/>
      <c r="CY349" s="753"/>
      <c r="CZ349" s="753"/>
      <c r="DA349" s="753"/>
      <c r="DB349" s="753"/>
      <c r="DC349" s="753"/>
      <c r="DD349" s="753"/>
      <c r="DE349" s="753"/>
      <c r="DF349" s="753"/>
      <c r="DG349" s="753"/>
      <c r="DH349" s="753"/>
      <c r="DI349" s="753"/>
      <c r="DJ349" s="753"/>
      <c r="DK349" s="753"/>
      <c r="DL349" s="753"/>
      <c r="DN349" s="775"/>
    </row>
    <row r="350" spans="1:118" s="758" customFormat="1">
      <c r="A350" s="825"/>
      <c r="B350" s="825"/>
      <c r="C350" s="825"/>
      <c r="D350" s="825"/>
      <c r="E350" s="825"/>
      <c r="F350" s="825"/>
      <c r="G350" s="825"/>
      <c r="H350" s="825"/>
      <c r="I350" s="825"/>
      <c r="J350" s="1039"/>
      <c r="K350" s="1039"/>
      <c r="L350" s="1039"/>
      <c r="M350" s="1039"/>
      <c r="N350" s="1039"/>
      <c r="O350" s="1090"/>
      <c r="P350" s="1039"/>
      <c r="Q350" s="1039"/>
      <c r="R350" s="1039"/>
      <c r="S350" s="1039"/>
      <c r="T350" s="1039"/>
      <c r="U350" s="1039"/>
      <c r="V350" s="1039"/>
      <c r="W350" s="1039"/>
      <c r="X350" s="1039"/>
      <c r="Y350" s="1039"/>
      <c r="Z350" s="1039"/>
      <c r="AI350" s="1034"/>
      <c r="AJ350" s="1034"/>
      <c r="AK350" s="1034"/>
      <c r="AL350" s="1034"/>
      <c r="AM350" s="1034"/>
      <c r="AN350" s="1034"/>
      <c r="AO350" s="1034"/>
      <c r="CN350" s="753"/>
      <c r="CO350" s="753"/>
      <c r="CP350" s="753"/>
      <c r="CQ350" s="753"/>
      <c r="CR350" s="753"/>
      <c r="CS350" s="753"/>
      <c r="CT350" s="753"/>
      <c r="CU350" s="753"/>
      <c r="CV350" s="753"/>
      <c r="CW350" s="753"/>
      <c r="CX350" s="753"/>
      <c r="CY350" s="753"/>
      <c r="CZ350" s="753"/>
      <c r="DA350" s="753"/>
      <c r="DB350" s="753"/>
      <c r="DC350" s="753"/>
      <c r="DD350" s="753"/>
      <c r="DE350" s="753"/>
      <c r="DF350" s="753"/>
      <c r="DG350" s="753"/>
      <c r="DH350" s="753"/>
      <c r="DI350" s="753"/>
      <c r="DJ350" s="753"/>
      <c r="DK350" s="753"/>
      <c r="DL350" s="753"/>
      <c r="DN350" s="775"/>
    </row>
    <row r="351" spans="1:118" s="758" customFormat="1">
      <c r="A351" s="825"/>
      <c r="B351" s="825"/>
      <c r="C351" s="825"/>
      <c r="D351" s="825"/>
      <c r="E351" s="825"/>
      <c r="F351" s="825"/>
      <c r="G351" s="825"/>
      <c r="H351" s="825"/>
      <c r="I351" s="825"/>
      <c r="J351" s="1039"/>
      <c r="K351" s="1039"/>
      <c r="L351" s="1039"/>
      <c r="M351" s="1039"/>
      <c r="N351" s="1039"/>
      <c r="O351" s="1090"/>
      <c r="P351" s="1039"/>
      <c r="Q351" s="1039"/>
      <c r="R351" s="1039"/>
      <c r="S351" s="1039"/>
      <c r="T351" s="1039"/>
      <c r="U351" s="1039"/>
      <c r="V351" s="1039"/>
      <c r="W351" s="1039"/>
      <c r="X351" s="1039"/>
      <c r="Y351" s="1039"/>
      <c r="Z351" s="1039"/>
      <c r="AI351" s="1034"/>
      <c r="AJ351" s="1034"/>
      <c r="AK351" s="1034"/>
      <c r="AL351" s="1034"/>
      <c r="AM351" s="1034"/>
      <c r="AN351" s="1034"/>
      <c r="AO351" s="1034"/>
      <c r="CN351" s="753"/>
      <c r="CO351" s="753"/>
      <c r="CP351" s="753"/>
      <c r="CQ351" s="753"/>
      <c r="CR351" s="753"/>
      <c r="CS351" s="753"/>
      <c r="CT351" s="753"/>
      <c r="CU351" s="753"/>
      <c r="CV351" s="753"/>
      <c r="CW351" s="753"/>
      <c r="CX351" s="753"/>
      <c r="CY351" s="753"/>
      <c r="CZ351" s="753"/>
      <c r="DA351" s="753"/>
      <c r="DB351" s="753"/>
      <c r="DC351" s="753"/>
      <c r="DD351" s="753"/>
      <c r="DE351" s="753"/>
      <c r="DF351" s="753"/>
      <c r="DG351" s="753"/>
      <c r="DH351" s="753"/>
      <c r="DI351" s="753"/>
      <c r="DJ351" s="753"/>
      <c r="DK351" s="753"/>
      <c r="DL351" s="753"/>
      <c r="DN351" s="775"/>
    </row>
    <row r="352" spans="1:118" s="758" customFormat="1">
      <c r="A352" s="825"/>
      <c r="B352" s="825"/>
      <c r="C352" s="825"/>
      <c r="D352" s="825"/>
      <c r="E352" s="825"/>
      <c r="F352" s="825"/>
      <c r="G352" s="825"/>
      <c r="H352" s="825"/>
      <c r="I352" s="825"/>
      <c r="J352" s="1039"/>
      <c r="K352" s="1039"/>
      <c r="L352" s="1039"/>
      <c r="M352" s="1039"/>
      <c r="N352" s="1039"/>
      <c r="O352" s="1090"/>
      <c r="P352" s="1039"/>
      <c r="Q352" s="1039"/>
      <c r="R352" s="1039"/>
      <c r="S352" s="1039"/>
      <c r="T352" s="1039"/>
      <c r="U352" s="1039"/>
      <c r="V352" s="1039"/>
      <c r="W352" s="1039"/>
      <c r="X352" s="1039"/>
      <c r="Y352" s="1039"/>
      <c r="Z352" s="1039"/>
      <c r="AI352" s="1034"/>
      <c r="AJ352" s="1034"/>
      <c r="AK352" s="1034"/>
      <c r="AL352" s="1034"/>
      <c r="AM352" s="1034"/>
      <c r="AN352" s="1034"/>
      <c r="AO352" s="1034"/>
      <c r="CN352" s="753"/>
      <c r="CO352" s="753"/>
      <c r="CP352" s="753"/>
      <c r="CQ352" s="753"/>
      <c r="CR352" s="753"/>
      <c r="CS352" s="753"/>
      <c r="CT352" s="753"/>
      <c r="CU352" s="753"/>
      <c r="CV352" s="753"/>
      <c r="CW352" s="753"/>
      <c r="CX352" s="753"/>
      <c r="CY352" s="753"/>
      <c r="CZ352" s="753"/>
      <c r="DA352" s="753"/>
      <c r="DB352" s="753"/>
      <c r="DC352" s="753"/>
      <c r="DD352" s="753"/>
      <c r="DE352" s="753"/>
      <c r="DF352" s="753"/>
      <c r="DG352" s="753"/>
      <c r="DH352" s="753"/>
      <c r="DI352" s="753"/>
      <c r="DJ352" s="753"/>
      <c r="DK352" s="753"/>
      <c r="DL352" s="753"/>
      <c r="DN352" s="775"/>
    </row>
    <row r="353" spans="1:118" s="758" customFormat="1">
      <c r="A353" s="825"/>
      <c r="B353" s="825"/>
      <c r="C353" s="825"/>
      <c r="D353" s="825"/>
      <c r="E353" s="825"/>
      <c r="F353" s="825"/>
      <c r="G353" s="825"/>
      <c r="H353" s="825"/>
      <c r="I353" s="825"/>
      <c r="J353" s="1039"/>
      <c r="K353" s="1039"/>
      <c r="L353" s="1039"/>
      <c r="M353" s="1039"/>
      <c r="N353" s="1039"/>
      <c r="O353" s="1090"/>
      <c r="P353" s="1039"/>
      <c r="Q353" s="1039"/>
      <c r="R353" s="1039"/>
      <c r="S353" s="1039"/>
      <c r="T353" s="1039"/>
      <c r="U353" s="1039"/>
      <c r="V353" s="1039"/>
      <c r="W353" s="1039"/>
      <c r="X353" s="1039"/>
      <c r="Y353" s="1039"/>
      <c r="Z353" s="1039"/>
      <c r="AI353" s="1034"/>
      <c r="AJ353" s="1034"/>
      <c r="AK353" s="1034"/>
      <c r="AL353" s="1034"/>
      <c r="AM353" s="1034"/>
      <c r="AN353" s="1034"/>
      <c r="AO353" s="1034"/>
      <c r="CN353" s="753"/>
      <c r="CO353" s="753"/>
      <c r="CP353" s="753"/>
      <c r="CQ353" s="753"/>
      <c r="CR353" s="753"/>
      <c r="CS353" s="753"/>
      <c r="CT353" s="753"/>
      <c r="CU353" s="753"/>
      <c r="CV353" s="753"/>
      <c r="CW353" s="753"/>
      <c r="CX353" s="753"/>
      <c r="CY353" s="753"/>
      <c r="CZ353" s="753"/>
      <c r="DA353" s="753"/>
      <c r="DB353" s="753"/>
      <c r="DC353" s="753"/>
      <c r="DD353" s="753"/>
      <c r="DE353" s="753"/>
      <c r="DF353" s="753"/>
      <c r="DG353" s="753"/>
      <c r="DH353" s="753"/>
      <c r="DI353" s="753"/>
      <c r="DJ353" s="753"/>
      <c r="DK353" s="753"/>
      <c r="DL353" s="753"/>
      <c r="DN353" s="775"/>
    </row>
    <row r="354" spans="1:118" s="758" customFormat="1">
      <c r="A354" s="825"/>
      <c r="B354" s="825"/>
      <c r="C354" s="825"/>
      <c r="D354" s="825"/>
      <c r="E354" s="825"/>
      <c r="F354" s="825"/>
      <c r="G354" s="825"/>
      <c r="H354" s="825"/>
      <c r="I354" s="825"/>
      <c r="J354" s="1039"/>
      <c r="K354" s="1039"/>
      <c r="L354" s="1039"/>
      <c r="M354" s="1039"/>
      <c r="N354" s="1039"/>
      <c r="O354" s="1090"/>
      <c r="P354" s="1039"/>
      <c r="Q354" s="1039"/>
      <c r="R354" s="1039"/>
      <c r="S354" s="1039"/>
      <c r="T354" s="1039"/>
      <c r="U354" s="1039"/>
      <c r="V354" s="1039"/>
      <c r="W354" s="1039"/>
      <c r="X354" s="1039"/>
      <c r="Y354" s="1039"/>
      <c r="Z354" s="1039"/>
      <c r="AI354" s="1034"/>
      <c r="AJ354" s="1034"/>
      <c r="AK354" s="1034"/>
      <c r="AL354" s="1034"/>
      <c r="AM354" s="1034"/>
      <c r="AN354" s="1034"/>
      <c r="AO354" s="1034"/>
      <c r="CN354" s="753"/>
      <c r="CO354" s="753"/>
      <c r="CP354" s="753"/>
      <c r="CQ354" s="753"/>
      <c r="CR354" s="753"/>
      <c r="CS354" s="753"/>
      <c r="CT354" s="753"/>
      <c r="CU354" s="753"/>
      <c r="CV354" s="753"/>
      <c r="CW354" s="753"/>
      <c r="CX354" s="753"/>
      <c r="CY354" s="753"/>
      <c r="CZ354" s="753"/>
      <c r="DA354" s="753"/>
      <c r="DB354" s="753"/>
      <c r="DC354" s="753"/>
      <c r="DD354" s="753"/>
      <c r="DE354" s="753"/>
      <c r="DF354" s="753"/>
      <c r="DG354" s="753"/>
      <c r="DH354" s="753"/>
      <c r="DI354" s="753"/>
      <c r="DJ354" s="753"/>
      <c r="DK354" s="753"/>
      <c r="DL354" s="753"/>
      <c r="DN354" s="775"/>
    </row>
    <row r="355" spans="1:118" s="758" customFormat="1">
      <c r="A355" s="825"/>
      <c r="B355" s="825"/>
      <c r="C355" s="825"/>
      <c r="D355" s="825"/>
      <c r="E355" s="825"/>
      <c r="F355" s="825"/>
      <c r="G355" s="825"/>
      <c r="H355" s="825"/>
      <c r="I355" s="825"/>
      <c r="J355" s="1039"/>
      <c r="K355" s="1039"/>
      <c r="L355" s="1039"/>
      <c r="M355" s="1039"/>
      <c r="N355" s="1039"/>
      <c r="O355" s="1090"/>
      <c r="P355" s="1039"/>
      <c r="Q355" s="1039"/>
      <c r="R355" s="1039"/>
      <c r="S355" s="1039"/>
      <c r="T355" s="1039"/>
      <c r="U355" s="1039"/>
      <c r="V355" s="1039"/>
      <c r="W355" s="1039"/>
      <c r="X355" s="1039"/>
      <c r="Y355" s="1039"/>
      <c r="Z355" s="1039"/>
      <c r="AI355" s="1034"/>
      <c r="AJ355" s="1034"/>
      <c r="AK355" s="1034"/>
      <c r="AL355" s="1034"/>
      <c r="AM355" s="1034"/>
      <c r="AN355" s="1034"/>
      <c r="AO355" s="1034"/>
      <c r="CN355" s="753"/>
      <c r="CO355" s="753"/>
      <c r="CP355" s="753"/>
      <c r="CQ355" s="753"/>
      <c r="CR355" s="753"/>
      <c r="CS355" s="753"/>
      <c r="CT355" s="753"/>
      <c r="CU355" s="753"/>
      <c r="CV355" s="753"/>
      <c r="CW355" s="753"/>
      <c r="CX355" s="753"/>
      <c r="CY355" s="753"/>
      <c r="CZ355" s="753"/>
      <c r="DA355" s="753"/>
      <c r="DB355" s="753"/>
      <c r="DC355" s="753"/>
      <c r="DD355" s="753"/>
      <c r="DE355" s="753"/>
      <c r="DF355" s="753"/>
      <c r="DG355" s="753"/>
      <c r="DH355" s="753"/>
      <c r="DI355" s="753"/>
      <c r="DJ355" s="753"/>
      <c r="DK355" s="753"/>
      <c r="DL355" s="753"/>
      <c r="DN355" s="775"/>
    </row>
    <row r="356" spans="1:118" s="758" customFormat="1">
      <c r="A356" s="825"/>
      <c r="B356" s="825"/>
      <c r="C356" s="825"/>
      <c r="D356" s="825"/>
      <c r="E356" s="825"/>
      <c r="F356" s="825"/>
      <c r="G356" s="825"/>
      <c r="H356" s="825"/>
      <c r="I356" s="825"/>
      <c r="J356" s="1039"/>
      <c r="K356" s="1039"/>
      <c r="L356" s="1039"/>
      <c r="M356" s="1039"/>
      <c r="N356" s="1039"/>
      <c r="O356" s="1090"/>
      <c r="P356" s="1039"/>
      <c r="Q356" s="1039"/>
      <c r="R356" s="1039"/>
      <c r="S356" s="1039"/>
      <c r="T356" s="1039"/>
      <c r="U356" s="1039"/>
      <c r="V356" s="1039"/>
      <c r="W356" s="1039"/>
      <c r="X356" s="1039"/>
      <c r="Y356" s="1039"/>
      <c r="Z356" s="1039"/>
      <c r="AI356" s="1034"/>
      <c r="AJ356" s="1034"/>
      <c r="AK356" s="1034"/>
      <c r="AL356" s="1034"/>
      <c r="AM356" s="1034"/>
      <c r="AN356" s="1034"/>
      <c r="AO356" s="1034"/>
      <c r="CN356" s="753"/>
      <c r="CO356" s="753"/>
      <c r="CP356" s="753"/>
      <c r="CQ356" s="753"/>
      <c r="CR356" s="753"/>
      <c r="CS356" s="753"/>
      <c r="CT356" s="753"/>
      <c r="CU356" s="753"/>
      <c r="CV356" s="753"/>
      <c r="CW356" s="753"/>
      <c r="CX356" s="753"/>
      <c r="CY356" s="753"/>
      <c r="CZ356" s="753"/>
      <c r="DA356" s="753"/>
      <c r="DB356" s="753"/>
      <c r="DC356" s="753"/>
      <c r="DD356" s="753"/>
      <c r="DE356" s="753"/>
      <c r="DF356" s="753"/>
      <c r="DG356" s="753"/>
      <c r="DH356" s="753"/>
      <c r="DI356" s="753"/>
      <c r="DJ356" s="753"/>
      <c r="DK356" s="753"/>
      <c r="DL356" s="753"/>
      <c r="DN356" s="775"/>
    </row>
    <row r="357" spans="1:118" s="758" customFormat="1">
      <c r="A357" s="825"/>
      <c r="B357" s="825"/>
      <c r="C357" s="825"/>
      <c r="D357" s="825"/>
      <c r="E357" s="825"/>
      <c r="F357" s="825"/>
      <c r="G357" s="825"/>
      <c r="H357" s="825"/>
      <c r="I357" s="825"/>
      <c r="J357" s="1039"/>
      <c r="K357" s="1039"/>
      <c r="L357" s="1039"/>
      <c r="M357" s="1039"/>
      <c r="N357" s="1039"/>
      <c r="O357" s="1090"/>
      <c r="P357" s="1039"/>
      <c r="Q357" s="1039"/>
      <c r="R357" s="1039"/>
      <c r="S357" s="1039"/>
      <c r="T357" s="1039"/>
      <c r="U357" s="1039"/>
      <c r="V357" s="1039"/>
      <c r="W357" s="1039"/>
      <c r="X357" s="1039"/>
      <c r="Y357" s="1039"/>
      <c r="Z357" s="1039"/>
      <c r="AI357" s="1034"/>
      <c r="AJ357" s="1034"/>
      <c r="AK357" s="1034"/>
      <c r="AL357" s="1034"/>
      <c r="AM357" s="1034"/>
      <c r="AN357" s="1034"/>
      <c r="AO357" s="1034"/>
      <c r="CN357" s="753"/>
      <c r="CO357" s="753"/>
      <c r="CP357" s="753"/>
      <c r="CQ357" s="753"/>
      <c r="CR357" s="753"/>
      <c r="CS357" s="753"/>
      <c r="CT357" s="753"/>
      <c r="CU357" s="753"/>
      <c r="CV357" s="753"/>
      <c r="CW357" s="753"/>
      <c r="CX357" s="753"/>
      <c r="CY357" s="753"/>
      <c r="CZ357" s="753"/>
      <c r="DA357" s="753"/>
      <c r="DB357" s="753"/>
      <c r="DC357" s="753"/>
      <c r="DD357" s="753"/>
      <c r="DE357" s="753"/>
      <c r="DF357" s="753"/>
      <c r="DG357" s="753"/>
      <c r="DH357" s="753"/>
      <c r="DI357" s="753"/>
      <c r="DJ357" s="753"/>
      <c r="DK357" s="753"/>
      <c r="DL357" s="753"/>
      <c r="DN357" s="775"/>
    </row>
    <row r="358" spans="1:118" s="758" customFormat="1">
      <c r="A358" s="825"/>
      <c r="B358" s="825"/>
      <c r="C358" s="825"/>
      <c r="D358" s="825"/>
      <c r="E358" s="825"/>
      <c r="F358" s="825"/>
      <c r="G358" s="825"/>
      <c r="H358" s="825"/>
      <c r="I358" s="825"/>
      <c r="J358" s="1039"/>
      <c r="K358" s="1039"/>
      <c r="L358" s="1039"/>
      <c r="M358" s="1039"/>
      <c r="N358" s="1039"/>
      <c r="O358" s="1090"/>
      <c r="P358" s="1039"/>
      <c r="Q358" s="1039"/>
      <c r="R358" s="1039"/>
      <c r="S358" s="1039"/>
      <c r="T358" s="1039"/>
      <c r="U358" s="1039"/>
      <c r="V358" s="1039"/>
      <c r="W358" s="1039"/>
      <c r="X358" s="1039"/>
      <c r="Y358" s="1039"/>
      <c r="Z358" s="1039"/>
      <c r="AI358" s="1034"/>
      <c r="AJ358" s="1034"/>
      <c r="AK358" s="1034"/>
      <c r="AL358" s="1034"/>
      <c r="AM358" s="1034"/>
      <c r="AN358" s="1034"/>
      <c r="AO358" s="1034"/>
      <c r="CN358" s="753"/>
      <c r="CO358" s="753"/>
      <c r="CP358" s="753"/>
      <c r="CQ358" s="753"/>
      <c r="CR358" s="753"/>
      <c r="CS358" s="753"/>
      <c r="CT358" s="753"/>
      <c r="CU358" s="753"/>
      <c r="CV358" s="753"/>
      <c r="CW358" s="753"/>
      <c r="CX358" s="753"/>
      <c r="CY358" s="753"/>
      <c r="CZ358" s="753"/>
      <c r="DA358" s="753"/>
      <c r="DB358" s="753"/>
      <c r="DC358" s="753"/>
      <c r="DD358" s="753"/>
      <c r="DE358" s="753"/>
      <c r="DF358" s="753"/>
      <c r="DG358" s="753"/>
      <c r="DH358" s="753"/>
      <c r="DI358" s="753"/>
      <c r="DJ358" s="753"/>
      <c r="DK358" s="753"/>
      <c r="DL358" s="753"/>
      <c r="DN358" s="775"/>
    </row>
    <row r="359" spans="1:118" s="758" customFormat="1">
      <c r="A359" s="825"/>
      <c r="B359" s="825"/>
      <c r="C359" s="825"/>
      <c r="D359" s="825"/>
      <c r="E359" s="825"/>
      <c r="F359" s="825"/>
      <c r="G359" s="825"/>
      <c r="H359" s="825"/>
      <c r="I359" s="825"/>
      <c r="J359" s="1039"/>
      <c r="K359" s="1039"/>
      <c r="L359" s="1039"/>
      <c r="M359" s="1039"/>
      <c r="N359" s="1039"/>
      <c r="O359" s="1090"/>
      <c r="P359" s="1039"/>
      <c r="Q359" s="1039"/>
      <c r="R359" s="1039"/>
      <c r="S359" s="1039"/>
      <c r="T359" s="1039"/>
      <c r="U359" s="1039"/>
      <c r="V359" s="1039"/>
      <c r="W359" s="1039"/>
      <c r="X359" s="1039"/>
      <c r="Y359" s="1039"/>
      <c r="Z359" s="1039"/>
      <c r="AI359" s="1034"/>
      <c r="AJ359" s="1034"/>
      <c r="AK359" s="1034"/>
      <c r="AL359" s="1034"/>
      <c r="AM359" s="1034"/>
      <c r="AN359" s="1034"/>
      <c r="AO359" s="1034"/>
      <c r="CN359" s="753"/>
      <c r="CO359" s="753"/>
      <c r="CP359" s="753"/>
      <c r="CQ359" s="753"/>
      <c r="CR359" s="753"/>
      <c r="CS359" s="753"/>
      <c r="CT359" s="753"/>
      <c r="CU359" s="753"/>
      <c r="CV359" s="753"/>
      <c r="CW359" s="753"/>
      <c r="CX359" s="753"/>
      <c r="CY359" s="753"/>
      <c r="CZ359" s="753"/>
      <c r="DA359" s="753"/>
      <c r="DB359" s="753"/>
      <c r="DC359" s="753"/>
      <c r="DD359" s="753"/>
      <c r="DE359" s="753"/>
      <c r="DF359" s="753"/>
      <c r="DG359" s="753"/>
      <c r="DH359" s="753"/>
      <c r="DI359" s="753"/>
      <c r="DJ359" s="753"/>
      <c r="DK359" s="753"/>
      <c r="DL359" s="753"/>
      <c r="DN359" s="775"/>
    </row>
    <row r="360" spans="1:118" s="758" customFormat="1">
      <c r="A360" s="825"/>
      <c r="B360" s="825"/>
      <c r="C360" s="825"/>
      <c r="D360" s="825"/>
      <c r="E360" s="825"/>
      <c r="F360" s="825"/>
      <c r="G360" s="825"/>
      <c r="H360" s="825"/>
      <c r="I360" s="825"/>
      <c r="J360" s="1039"/>
      <c r="K360" s="1039"/>
      <c r="L360" s="1039"/>
      <c r="M360" s="1039"/>
      <c r="N360" s="1039"/>
      <c r="O360" s="1090"/>
      <c r="P360" s="1039"/>
      <c r="Q360" s="1039"/>
      <c r="R360" s="1039"/>
      <c r="S360" s="1039"/>
      <c r="T360" s="1039"/>
      <c r="U360" s="1039"/>
      <c r="V360" s="1039"/>
      <c r="W360" s="1039"/>
      <c r="X360" s="1039"/>
      <c r="Y360" s="1039"/>
      <c r="Z360" s="1039"/>
      <c r="AI360" s="1034"/>
      <c r="AJ360" s="1034"/>
      <c r="AK360" s="1034"/>
      <c r="AL360" s="1034"/>
      <c r="AM360" s="1034"/>
      <c r="AN360" s="1034"/>
      <c r="AO360" s="1034"/>
      <c r="CN360" s="753"/>
      <c r="CO360" s="753"/>
      <c r="CP360" s="753"/>
      <c r="CQ360" s="753"/>
      <c r="CR360" s="753"/>
      <c r="CS360" s="753"/>
      <c r="CT360" s="753"/>
      <c r="CU360" s="753"/>
      <c r="CV360" s="753"/>
      <c r="CW360" s="753"/>
      <c r="CX360" s="753"/>
      <c r="CY360" s="753"/>
      <c r="CZ360" s="753"/>
      <c r="DA360" s="753"/>
      <c r="DB360" s="753"/>
      <c r="DC360" s="753"/>
      <c r="DD360" s="753"/>
      <c r="DE360" s="753"/>
      <c r="DF360" s="753"/>
      <c r="DG360" s="753"/>
      <c r="DH360" s="753"/>
      <c r="DI360" s="753"/>
      <c r="DJ360" s="753"/>
      <c r="DK360" s="753"/>
      <c r="DL360" s="753"/>
      <c r="DN360" s="775"/>
    </row>
    <row r="361" spans="1:118" s="758" customFormat="1">
      <c r="A361" s="825"/>
      <c r="B361" s="825"/>
      <c r="C361" s="825"/>
      <c r="D361" s="825"/>
      <c r="E361" s="825"/>
      <c r="F361" s="825"/>
      <c r="G361" s="825"/>
      <c r="H361" s="825"/>
      <c r="I361" s="825"/>
      <c r="J361" s="1039"/>
      <c r="K361" s="1039"/>
      <c r="L361" s="1039"/>
      <c r="M361" s="1039"/>
      <c r="N361" s="1039"/>
      <c r="O361" s="1090"/>
      <c r="P361" s="1039"/>
      <c r="Q361" s="1039"/>
      <c r="R361" s="1039"/>
      <c r="S361" s="1039"/>
      <c r="T361" s="1039"/>
      <c r="U361" s="1039"/>
      <c r="V361" s="1039"/>
      <c r="W361" s="1039"/>
      <c r="X361" s="1039"/>
      <c r="Y361" s="1039"/>
      <c r="Z361" s="1039"/>
      <c r="AI361" s="1034"/>
      <c r="AJ361" s="1034"/>
      <c r="AK361" s="1034"/>
      <c r="AL361" s="1034"/>
      <c r="AM361" s="1034"/>
      <c r="AN361" s="1034"/>
      <c r="AO361" s="1034"/>
      <c r="CN361" s="753"/>
      <c r="CO361" s="753"/>
      <c r="CP361" s="753"/>
      <c r="CQ361" s="753"/>
      <c r="CR361" s="753"/>
      <c r="CS361" s="753"/>
      <c r="CT361" s="753"/>
      <c r="CU361" s="753"/>
      <c r="CV361" s="753"/>
      <c r="CW361" s="753"/>
      <c r="CX361" s="753"/>
      <c r="CY361" s="753"/>
      <c r="CZ361" s="753"/>
      <c r="DA361" s="753"/>
      <c r="DB361" s="753"/>
      <c r="DC361" s="753"/>
      <c r="DD361" s="753"/>
      <c r="DE361" s="753"/>
      <c r="DF361" s="753"/>
      <c r="DG361" s="753"/>
      <c r="DH361" s="753"/>
      <c r="DI361" s="753"/>
      <c r="DJ361" s="753"/>
      <c r="DK361" s="753"/>
      <c r="DL361" s="753"/>
      <c r="DN361" s="775"/>
    </row>
    <row r="362" spans="1:118" s="758" customFormat="1">
      <c r="A362" s="825"/>
      <c r="B362" s="825"/>
      <c r="C362" s="825"/>
      <c r="D362" s="825"/>
      <c r="E362" s="825"/>
      <c r="F362" s="825"/>
      <c r="G362" s="825"/>
      <c r="H362" s="825"/>
      <c r="I362" s="825"/>
      <c r="J362" s="1039"/>
      <c r="K362" s="1039"/>
      <c r="L362" s="1039"/>
      <c r="M362" s="1039"/>
      <c r="N362" s="1039"/>
      <c r="O362" s="1090"/>
      <c r="P362" s="1039"/>
      <c r="Q362" s="1039"/>
      <c r="R362" s="1039"/>
      <c r="S362" s="1039"/>
      <c r="T362" s="1039"/>
      <c r="U362" s="1039"/>
      <c r="V362" s="1039"/>
      <c r="W362" s="1039"/>
      <c r="X362" s="1039"/>
      <c r="Y362" s="1039"/>
      <c r="Z362" s="1039"/>
      <c r="AI362" s="1034"/>
      <c r="AJ362" s="1034"/>
      <c r="AK362" s="1034"/>
      <c r="AL362" s="1034"/>
      <c r="AM362" s="1034"/>
      <c r="AN362" s="1034"/>
      <c r="AO362" s="1034"/>
      <c r="CN362" s="753"/>
      <c r="CO362" s="753"/>
      <c r="CP362" s="753"/>
      <c r="CQ362" s="753"/>
      <c r="CR362" s="753"/>
      <c r="CS362" s="753"/>
      <c r="CT362" s="753"/>
      <c r="CU362" s="753"/>
      <c r="CV362" s="753"/>
      <c r="CW362" s="753"/>
      <c r="CX362" s="753"/>
      <c r="CY362" s="753"/>
      <c r="CZ362" s="753"/>
      <c r="DA362" s="753"/>
      <c r="DB362" s="753"/>
      <c r="DC362" s="753"/>
      <c r="DD362" s="753"/>
      <c r="DE362" s="753"/>
      <c r="DF362" s="753"/>
      <c r="DG362" s="753"/>
      <c r="DH362" s="753"/>
      <c r="DI362" s="753"/>
      <c r="DJ362" s="753"/>
      <c r="DK362" s="753"/>
      <c r="DL362" s="753"/>
      <c r="DN362" s="775"/>
    </row>
    <row r="363" spans="1:118" s="758" customFormat="1">
      <c r="A363" s="825"/>
      <c r="B363" s="825"/>
      <c r="C363" s="825"/>
      <c r="D363" s="825"/>
      <c r="E363" s="825"/>
      <c r="F363" s="825"/>
      <c r="G363" s="825"/>
      <c r="H363" s="825"/>
      <c r="I363" s="825"/>
      <c r="J363" s="1039"/>
      <c r="K363" s="1039"/>
      <c r="L363" s="1039"/>
      <c r="M363" s="1039"/>
      <c r="N363" s="1039"/>
      <c r="O363" s="1090"/>
      <c r="P363" s="1039"/>
      <c r="Q363" s="1039"/>
      <c r="R363" s="1039"/>
      <c r="S363" s="1039"/>
      <c r="T363" s="1039"/>
      <c r="U363" s="1039"/>
      <c r="V363" s="1039"/>
      <c r="W363" s="1039"/>
      <c r="X363" s="1039"/>
      <c r="Y363" s="1039"/>
      <c r="Z363" s="1039"/>
      <c r="AI363" s="1034"/>
      <c r="AJ363" s="1034"/>
      <c r="AK363" s="1034"/>
      <c r="AL363" s="1034"/>
      <c r="AM363" s="1034"/>
      <c r="AN363" s="1034"/>
      <c r="AO363" s="1034"/>
      <c r="CN363" s="753"/>
      <c r="CO363" s="753"/>
      <c r="CP363" s="753"/>
      <c r="CQ363" s="753"/>
      <c r="CR363" s="753"/>
      <c r="CS363" s="753"/>
      <c r="CT363" s="753"/>
      <c r="CU363" s="753"/>
      <c r="CV363" s="753"/>
      <c r="CW363" s="753"/>
      <c r="CX363" s="753"/>
      <c r="CY363" s="753"/>
      <c r="CZ363" s="753"/>
      <c r="DA363" s="753"/>
      <c r="DB363" s="753"/>
      <c r="DC363" s="753"/>
      <c r="DD363" s="753"/>
      <c r="DE363" s="753"/>
      <c r="DF363" s="753"/>
      <c r="DG363" s="753"/>
      <c r="DH363" s="753"/>
      <c r="DI363" s="753"/>
      <c r="DJ363" s="753"/>
      <c r="DK363" s="753"/>
      <c r="DL363" s="753"/>
      <c r="DN363" s="775"/>
    </row>
    <row r="364" spans="1:118" s="758" customFormat="1">
      <c r="A364" s="825"/>
      <c r="B364" s="825"/>
      <c r="C364" s="825"/>
      <c r="D364" s="825"/>
      <c r="E364" s="825"/>
      <c r="F364" s="825"/>
      <c r="G364" s="825"/>
      <c r="H364" s="825"/>
      <c r="I364" s="825"/>
      <c r="J364" s="1039"/>
      <c r="K364" s="1039"/>
      <c r="L364" s="1039"/>
      <c r="M364" s="1039"/>
      <c r="N364" s="1039"/>
      <c r="O364" s="1090"/>
      <c r="P364" s="1039"/>
      <c r="Q364" s="1039"/>
      <c r="R364" s="1039"/>
      <c r="S364" s="1039"/>
      <c r="T364" s="1039"/>
      <c r="U364" s="1039"/>
      <c r="V364" s="1039"/>
      <c r="W364" s="1039"/>
      <c r="X364" s="1039"/>
      <c r="Y364" s="1039"/>
      <c r="Z364" s="1039"/>
      <c r="AI364" s="1034"/>
      <c r="AJ364" s="1034"/>
      <c r="AK364" s="1034"/>
      <c r="AL364" s="1034"/>
      <c r="AM364" s="1034"/>
      <c r="AN364" s="1034"/>
      <c r="AO364" s="1034"/>
      <c r="CN364" s="753"/>
      <c r="CO364" s="753"/>
      <c r="CP364" s="753"/>
      <c r="CQ364" s="753"/>
      <c r="CR364" s="753"/>
      <c r="CS364" s="753"/>
      <c r="CT364" s="753"/>
      <c r="CU364" s="753"/>
      <c r="CV364" s="753"/>
      <c r="CW364" s="753"/>
      <c r="CX364" s="753"/>
      <c r="CY364" s="753"/>
      <c r="CZ364" s="753"/>
      <c r="DA364" s="753"/>
      <c r="DB364" s="753"/>
      <c r="DC364" s="753"/>
      <c r="DD364" s="753"/>
      <c r="DE364" s="753"/>
      <c r="DF364" s="753"/>
      <c r="DG364" s="753"/>
      <c r="DH364" s="753"/>
      <c r="DI364" s="753"/>
      <c r="DJ364" s="753"/>
      <c r="DK364" s="753"/>
      <c r="DL364" s="753"/>
      <c r="DN364" s="775"/>
    </row>
    <row r="365" spans="1:118" s="758" customFormat="1">
      <c r="A365" s="825"/>
      <c r="B365" s="825"/>
      <c r="C365" s="825"/>
      <c r="D365" s="825"/>
      <c r="E365" s="825"/>
      <c r="F365" s="825"/>
      <c r="G365" s="825"/>
      <c r="H365" s="825"/>
      <c r="I365" s="825"/>
      <c r="J365" s="1039"/>
      <c r="K365" s="1039"/>
      <c r="L365" s="1039"/>
      <c r="M365" s="1039"/>
      <c r="N365" s="1039"/>
      <c r="O365" s="1090"/>
      <c r="P365" s="1039"/>
      <c r="Q365" s="1039"/>
      <c r="R365" s="1039"/>
      <c r="S365" s="1039"/>
      <c r="T365" s="1039"/>
      <c r="U365" s="1039"/>
      <c r="V365" s="1039"/>
      <c r="W365" s="1039"/>
      <c r="X365" s="1039"/>
      <c r="Y365" s="1039"/>
      <c r="Z365" s="1039"/>
      <c r="AI365" s="1034"/>
      <c r="AJ365" s="1034"/>
      <c r="AK365" s="1034"/>
      <c r="AL365" s="1034"/>
      <c r="AM365" s="1034"/>
      <c r="AN365" s="1034"/>
      <c r="AO365" s="1034"/>
      <c r="CN365" s="753"/>
      <c r="CO365" s="753"/>
      <c r="CP365" s="753"/>
      <c r="CQ365" s="753"/>
      <c r="CR365" s="753"/>
      <c r="CS365" s="753"/>
      <c r="CT365" s="753"/>
      <c r="CU365" s="753"/>
      <c r="CV365" s="753"/>
      <c r="CW365" s="753"/>
      <c r="CX365" s="753"/>
      <c r="CY365" s="753"/>
      <c r="CZ365" s="753"/>
      <c r="DA365" s="753"/>
      <c r="DB365" s="753"/>
      <c r="DC365" s="753"/>
      <c r="DD365" s="753"/>
      <c r="DE365" s="753"/>
      <c r="DF365" s="753"/>
      <c r="DG365" s="753"/>
      <c r="DH365" s="753"/>
      <c r="DI365" s="753"/>
      <c r="DJ365" s="753"/>
      <c r="DK365" s="753"/>
      <c r="DL365" s="753"/>
      <c r="DN365" s="775"/>
    </row>
    <row r="366" spans="1:118" s="758" customFormat="1">
      <c r="A366" s="825"/>
      <c r="B366" s="825"/>
      <c r="C366" s="825"/>
      <c r="D366" s="825"/>
      <c r="E366" s="825"/>
      <c r="F366" s="825"/>
      <c r="G366" s="825"/>
      <c r="H366" s="825"/>
      <c r="I366" s="825"/>
      <c r="J366" s="1039"/>
      <c r="K366" s="1039"/>
      <c r="L366" s="1039"/>
      <c r="M366" s="1039"/>
      <c r="N366" s="1039"/>
      <c r="O366" s="1090"/>
      <c r="P366" s="1039"/>
      <c r="Q366" s="1039"/>
      <c r="R366" s="1039"/>
      <c r="S366" s="1039"/>
      <c r="T366" s="1039"/>
      <c r="U366" s="1039"/>
      <c r="V366" s="1039"/>
      <c r="W366" s="1039"/>
      <c r="X366" s="1039"/>
      <c r="Y366" s="1039"/>
      <c r="Z366" s="1039"/>
      <c r="AI366" s="1034"/>
      <c r="AJ366" s="1034"/>
      <c r="AK366" s="1034"/>
      <c r="AL366" s="1034"/>
      <c r="AM366" s="1034"/>
      <c r="AN366" s="1034"/>
      <c r="AO366" s="1034"/>
      <c r="CN366" s="753"/>
      <c r="CO366" s="753"/>
      <c r="CP366" s="753"/>
      <c r="CQ366" s="753"/>
      <c r="CR366" s="753"/>
      <c r="CS366" s="753"/>
      <c r="CT366" s="753"/>
      <c r="CU366" s="753"/>
      <c r="CV366" s="753"/>
      <c r="CW366" s="753"/>
      <c r="CX366" s="753"/>
      <c r="CY366" s="753"/>
      <c r="CZ366" s="753"/>
      <c r="DA366" s="753"/>
      <c r="DB366" s="753"/>
      <c r="DC366" s="753"/>
      <c r="DD366" s="753"/>
      <c r="DE366" s="753"/>
      <c r="DF366" s="753"/>
      <c r="DG366" s="753"/>
      <c r="DH366" s="753"/>
      <c r="DI366" s="753"/>
      <c r="DJ366" s="753"/>
      <c r="DK366" s="753"/>
      <c r="DL366" s="753"/>
      <c r="DN366" s="775"/>
    </row>
    <row r="367" spans="1:118" s="758" customFormat="1">
      <c r="A367" s="825"/>
      <c r="B367" s="825"/>
      <c r="C367" s="825"/>
      <c r="D367" s="825"/>
      <c r="E367" s="825"/>
      <c r="F367" s="825"/>
      <c r="G367" s="825"/>
      <c r="H367" s="825"/>
      <c r="I367" s="825"/>
      <c r="J367" s="1039"/>
      <c r="K367" s="1039"/>
      <c r="L367" s="1039"/>
      <c r="M367" s="1039"/>
      <c r="N367" s="1039"/>
      <c r="O367" s="1090"/>
      <c r="P367" s="1039"/>
      <c r="Q367" s="1039"/>
      <c r="R367" s="1039"/>
      <c r="S367" s="1039"/>
      <c r="T367" s="1039"/>
      <c r="U367" s="1039"/>
      <c r="V367" s="1039"/>
      <c r="W367" s="1039"/>
      <c r="X367" s="1039"/>
      <c r="Y367" s="1039"/>
      <c r="Z367" s="1039"/>
      <c r="AI367" s="1034"/>
      <c r="AJ367" s="1034"/>
      <c r="AK367" s="1034"/>
      <c r="AL367" s="1034"/>
      <c r="AM367" s="1034"/>
      <c r="AN367" s="1034"/>
      <c r="AO367" s="1034"/>
      <c r="CN367" s="753"/>
      <c r="CO367" s="753"/>
      <c r="CP367" s="753"/>
      <c r="CQ367" s="753"/>
      <c r="CR367" s="753"/>
      <c r="CS367" s="753"/>
      <c r="CT367" s="753"/>
      <c r="CU367" s="753"/>
      <c r="CV367" s="753"/>
      <c r="CW367" s="753"/>
      <c r="CX367" s="753"/>
      <c r="CY367" s="753"/>
      <c r="CZ367" s="753"/>
      <c r="DA367" s="753"/>
      <c r="DB367" s="753"/>
      <c r="DC367" s="753"/>
      <c r="DD367" s="753"/>
      <c r="DE367" s="753"/>
      <c r="DF367" s="753"/>
      <c r="DG367" s="753"/>
      <c r="DH367" s="753"/>
      <c r="DI367" s="753"/>
      <c r="DJ367" s="753"/>
      <c r="DK367" s="753"/>
      <c r="DL367" s="753"/>
      <c r="DN367" s="775"/>
    </row>
    <row r="368" spans="1:118" s="758" customFormat="1">
      <c r="A368" s="825"/>
      <c r="B368" s="825"/>
      <c r="C368" s="825"/>
      <c r="D368" s="825"/>
      <c r="E368" s="825"/>
      <c r="F368" s="825"/>
      <c r="G368" s="825"/>
      <c r="H368" s="825"/>
      <c r="I368" s="825"/>
      <c r="J368" s="1039"/>
      <c r="K368" s="1039"/>
      <c r="L368" s="1039"/>
      <c r="M368" s="1039"/>
      <c r="N368" s="1039"/>
      <c r="O368" s="1090"/>
      <c r="P368" s="1039"/>
      <c r="Q368" s="1039"/>
      <c r="R368" s="1039"/>
      <c r="S368" s="1039"/>
      <c r="T368" s="1039"/>
      <c r="U368" s="1039"/>
      <c r="V368" s="1039"/>
      <c r="W368" s="1039"/>
      <c r="X368" s="1039"/>
      <c r="Y368" s="1039"/>
      <c r="Z368" s="1039"/>
      <c r="AI368" s="1034"/>
      <c r="AJ368" s="1034"/>
      <c r="AK368" s="1034"/>
      <c r="AL368" s="1034"/>
      <c r="AM368" s="1034"/>
      <c r="AN368" s="1034"/>
      <c r="AO368" s="1034"/>
      <c r="CN368" s="753"/>
      <c r="CO368" s="753"/>
      <c r="CP368" s="753"/>
      <c r="CQ368" s="753"/>
      <c r="CR368" s="753"/>
      <c r="CS368" s="753"/>
      <c r="CT368" s="753"/>
      <c r="CU368" s="753"/>
      <c r="CV368" s="753"/>
      <c r="CW368" s="753"/>
      <c r="CX368" s="753"/>
      <c r="CY368" s="753"/>
      <c r="CZ368" s="753"/>
      <c r="DA368" s="753"/>
      <c r="DB368" s="753"/>
      <c r="DC368" s="753"/>
      <c r="DD368" s="753"/>
      <c r="DE368" s="753"/>
      <c r="DF368" s="753"/>
      <c r="DG368" s="753"/>
      <c r="DH368" s="753"/>
      <c r="DI368" s="753"/>
      <c r="DJ368" s="753"/>
      <c r="DK368" s="753"/>
      <c r="DL368" s="753"/>
      <c r="DN368" s="775"/>
    </row>
    <row r="369" spans="1:118" s="758" customFormat="1">
      <c r="A369" s="825"/>
      <c r="B369" s="825"/>
      <c r="C369" s="825"/>
      <c r="D369" s="825"/>
      <c r="E369" s="825"/>
      <c r="F369" s="825"/>
      <c r="G369" s="825"/>
      <c r="H369" s="825"/>
      <c r="I369" s="825"/>
      <c r="J369" s="1039"/>
      <c r="K369" s="1039"/>
      <c r="L369" s="1039"/>
      <c r="M369" s="1039"/>
      <c r="N369" s="1039"/>
      <c r="O369" s="1090"/>
      <c r="P369" s="1039"/>
      <c r="Q369" s="1039"/>
      <c r="R369" s="1039"/>
      <c r="S369" s="1039"/>
      <c r="T369" s="1039"/>
      <c r="U369" s="1039"/>
      <c r="V369" s="1039"/>
      <c r="W369" s="1039"/>
      <c r="X369" s="1039"/>
      <c r="Y369" s="1039"/>
      <c r="Z369" s="1039"/>
      <c r="AI369" s="1034"/>
      <c r="AJ369" s="1034"/>
      <c r="AK369" s="1034"/>
      <c r="AL369" s="1034"/>
      <c r="AM369" s="1034"/>
      <c r="AN369" s="1034"/>
      <c r="AO369" s="1034"/>
      <c r="CN369" s="753"/>
      <c r="CO369" s="753"/>
      <c r="CP369" s="753"/>
      <c r="CQ369" s="753"/>
      <c r="CR369" s="753"/>
      <c r="CS369" s="753"/>
      <c r="CT369" s="753"/>
      <c r="CU369" s="753"/>
      <c r="CV369" s="753"/>
      <c r="CW369" s="753"/>
      <c r="CX369" s="753"/>
      <c r="CY369" s="753"/>
      <c r="CZ369" s="753"/>
      <c r="DA369" s="753"/>
      <c r="DB369" s="753"/>
      <c r="DC369" s="753"/>
      <c r="DD369" s="753"/>
      <c r="DE369" s="753"/>
      <c r="DF369" s="753"/>
      <c r="DG369" s="753"/>
      <c r="DH369" s="753"/>
      <c r="DI369" s="753"/>
      <c r="DJ369" s="753"/>
      <c r="DK369" s="753"/>
      <c r="DL369" s="753"/>
      <c r="DN369" s="775"/>
    </row>
    <row r="370" spans="1:118" s="758" customFormat="1">
      <c r="A370" s="825"/>
      <c r="B370" s="825"/>
      <c r="C370" s="825"/>
      <c r="D370" s="825"/>
      <c r="E370" s="825"/>
      <c r="F370" s="825"/>
      <c r="G370" s="825"/>
      <c r="H370" s="825"/>
      <c r="I370" s="825"/>
      <c r="J370" s="1039"/>
      <c r="K370" s="1039"/>
      <c r="L370" s="1039"/>
      <c r="M370" s="1039"/>
      <c r="N370" s="1039"/>
      <c r="O370" s="1090"/>
      <c r="P370" s="1039"/>
      <c r="Q370" s="1039"/>
      <c r="R370" s="1039"/>
      <c r="S370" s="1039"/>
      <c r="T370" s="1039"/>
      <c r="U370" s="1039"/>
      <c r="V370" s="1039"/>
      <c r="W370" s="1039"/>
      <c r="X370" s="1039"/>
      <c r="Y370" s="1039"/>
      <c r="Z370" s="1039"/>
      <c r="AI370" s="1034"/>
      <c r="AJ370" s="1034"/>
      <c r="AK370" s="1034"/>
      <c r="AL370" s="1034"/>
      <c r="AM370" s="1034"/>
      <c r="AN370" s="1034"/>
      <c r="AO370" s="1034"/>
      <c r="CN370" s="753"/>
      <c r="CO370" s="753"/>
      <c r="CP370" s="753"/>
      <c r="CQ370" s="753"/>
      <c r="CR370" s="753"/>
      <c r="CS370" s="753"/>
      <c r="CT370" s="753"/>
      <c r="CU370" s="753"/>
      <c r="CV370" s="753"/>
      <c r="CW370" s="753"/>
      <c r="CX370" s="753"/>
      <c r="CY370" s="753"/>
      <c r="CZ370" s="753"/>
      <c r="DA370" s="753"/>
      <c r="DB370" s="753"/>
      <c r="DC370" s="753"/>
      <c r="DD370" s="753"/>
      <c r="DE370" s="753"/>
      <c r="DF370" s="753"/>
      <c r="DG370" s="753"/>
      <c r="DH370" s="753"/>
      <c r="DI370" s="753"/>
      <c r="DJ370" s="753"/>
      <c r="DK370" s="753"/>
      <c r="DL370" s="753"/>
      <c r="DN370" s="775"/>
    </row>
    <row r="371" spans="1:118" s="758" customFormat="1">
      <c r="A371" s="825"/>
      <c r="B371" s="825"/>
      <c r="C371" s="825"/>
      <c r="D371" s="825"/>
      <c r="E371" s="825"/>
      <c r="F371" s="825"/>
      <c r="G371" s="825"/>
      <c r="H371" s="825"/>
      <c r="I371" s="825"/>
      <c r="J371" s="1039"/>
      <c r="K371" s="1039"/>
      <c r="L371" s="1039"/>
      <c r="M371" s="1039"/>
      <c r="N371" s="1039"/>
      <c r="O371" s="1090"/>
      <c r="P371" s="1039"/>
      <c r="Q371" s="1039"/>
      <c r="R371" s="1039"/>
      <c r="S371" s="1039"/>
      <c r="T371" s="1039"/>
      <c r="U371" s="1039"/>
      <c r="V371" s="1039"/>
      <c r="W371" s="1039"/>
      <c r="X371" s="1039"/>
      <c r="Y371" s="1039"/>
      <c r="Z371" s="1039"/>
      <c r="AI371" s="1034"/>
      <c r="AJ371" s="1034"/>
      <c r="AK371" s="1034"/>
      <c r="AL371" s="1034"/>
      <c r="AM371" s="1034"/>
      <c r="AN371" s="1034"/>
      <c r="AO371" s="1034"/>
      <c r="CN371" s="753"/>
      <c r="CO371" s="753"/>
      <c r="CP371" s="753"/>
      <c r="CQ371" s="753"/>
      <c r="CR371" s="753"/>
      <c r="CS371" s="753"/>
      <c r="CT371" s="753"/>
      <c r="CU371" s="753"/>
      <c r="CV371" s="753"/>
      <c r="CW371" s="753"/>
      <c r="CX371" s="753"/>
      <c r="CY371" s="753"/>
      <c r="CZ371" s="753"/>
      <c r="DA371" s="753"/>
      <c r="DB371" s="753"/>
      <c r="DC371" s="753"/>
      <c r="DD371" s="753"/>
      <c r="DE371" s="753"/>
      <c r="DF371" s="753"/>
      <c r="DG371" s="753"/>
      <c r="DH371" s="753"/>
      <c r="DI371" s="753"/>
      <c r="DJ371" s="753"/>
      <c r="DK371" s="753"/>
      <c r="DL371" s="753"/>
      <c r="DN371" s="775"/>
    </row>
    <row r="372" spans="1:118" s="758" customFormat="1">
      <c r="A372" s="825"/>
      <c r="B372" s="825"/>
      <c r="C372" s="825"/>
      <c r="D372" s="825"/>
      <c r="E372" s="825"/>
      <c r="F372" s="825"/>
      <c r="G372" s="825"/>
      <c r="H372" s="825"/>
      <c r="I372" s="825"/>
      <c r="J372" s="1039"/>
      <c r="K372" s="1039"/>
      <c r="L372" s="1039"/>
      <c r="M372" s="1039"/>
      <c r="N372" s="1039"/>
      <c r="O372" s="1090"/>
      <c r="P372" s="1039"/>
      <c r="Q372" s="1039"/>
      <c r="R372" s="1039"/>
      <c r="S372" s="1039"/>
      <c r="T372" s="1039"/>
      <c r="U372" s="1039"/>
      <c r="V372" s="1039"/>
      <c r="W372" s="1039"/>
      <c r="X372" s="1039"/>
      <c r="Y372" s="1039"/>
      <c r="Z372" s="1039"/>
      <c r="AI372" s="1034"/>
      <c r="AJ372" s="1034"/>
      <c r="AK372" s="1034"/>
      <c r="AL372" s="1034"/>
      <c r="AM372" s="1034"/>
      <c r="AN372" s="1034"/>
      <c r="AO372" s="1034"/>
      <c r="CN372" s="753"/>
      <c r="CO372" s="753"/>
      <c r="CP372" s="753"/>
      <c r="CQ372" s="753"/>
      <c r="CR372" s="753"/>
      <c r="CS372" s="753"/>
      <c r="CT372" s="753"/>
      <c r="CU372" s="753"/>
      <c r="CV372" s="753"/>
      <c r="CW372" s="753"/>
      <c r="CX372" s="753"/>
      <c r="CY372" s="753"/>
      <c r="CZ372" s="753"/>
      <c r="DA372" s="753"/>
      <c r="DB372" s="753"/>
      <c r="DC372" s="753"/>
      <c r="DD372" s="753"/>
      <c r="DE372" s="753"/>
      <c r="DF372" s="753"/>
      <c r="DG372" s="753"/>
      <c r="DH372" s="753"/>
      <c r="DI372" s="753"/>
      <c r="DJ372" s="753"/>
      <c r="DK372" s="753"/>
      <c r="DL372" s="753"/>
      <c r="DN372" s="775"/>
    </row>
    <row r="373" spans="1:118" s="758" customFormat="1">
      <c r="A373" s="825"/>
      <c r="B373" s="825"/>
      <c r="C373" s="825"/>
      <c r="D373" s="825"/>
      <c r="E373" s="825"/>
      <c r="F373" s="825"/>
      <c r="G373" s="825"/>
      <c r="H373" s="825"/>
      <c r="I373" s="825"/>
      <c r="J373" s="1039"/>
      <c r="K373" s="1039"/>
      <c r="L373" s="1039"/>
      <c r="M373" s="1039"/>
      <c r="N373" s="1039"/>
      <c r="O373" s="1090"/>
      <c r="P373" s="1039"/>
      <c r="Q373" s="1039"/>
      <c r="R373" s="1039"/>
      <c r="S373" s="1039"/>
      <c r="T373" s="1039"/>
      <c r="U373" s="1039"/>
      <c r="V373" s="1039"/>
      <c r="W373" s="1039"/>
      <c r="X373" s="1039"/>
      <c r="Y373" s="1039"/>
      <c r="Z373" s="1039"/>
      <c r="AI373" s="1034"/>
      <c r="AJ373" s="1034"/>
      <c r="AK373" s="1034"/>
      <c r="AL373" s="1034"/>
      <c r="AM373" s="1034"/>
      <c r="AN373" s="1034"/>
      <c r="AO373" s="1034"/>
      <c r="CN373" s="753"/>
      <c r="CO373" s="753"/>
      <c r="CP373" s="753"/>
      <c r="CQ373" s="753"/>
      <c r="CR373" s="753"/>
      <c r="CS373" s="753"/>
      <c r="CT373" s="753"/>
      <c r="CU373" s="753"/>
      <c r="CV373" s="753"/>
      <c r="CW373" s="753"/>
      <c r="CX373" s="753"/>
      <c r="CY373" s="753"/>
      <c r="CZ373" s="753"/>
      <c r="DA373" s="753"/>
      <c r="DB373" s="753"/>
      <c r="DC373" s="753"/>
      <c r="DD373" s="753"/>
      <c r="DE373" s="753"/>
      <c r="DF373" s="753"/>
      <c r="DG373" s="753"/>
      <c r="DH373" s="753"/>
      <c r="DI373" s="753"/>
      <c r="DJ373" s="753"/>
      <c r="DK373" s="753"/>
      <c r="DL373" s="753"/>
      <c r="DN373" s="775"/>
    </row>
    <row r="374" spans="1:118" s="758" customFormat="1">
      <c r="A374" s="825"/>
      <c r="B374" s="825"/>
      <c r="C374" s="825"/>
      <c r="D374" s="825"/>
      <c r="E374" s="825"/>
      <c r="F374" s="825"/>
      <c r="G374" s="825"/>
      <c r="H374" s="825"/>
      <c r="I374" s="825"/>
      <c r="J374" s="1039"/>
      <c r="K374" s="1039"/>
      <c r="L374" s="1039"/>
      <c r="M374" s="1039"/>
      <c r="N374" s="1039"/>
      <c r="O374" s="1090"/>
      <c r="P374" s="1039"/>
      <c r="Q374" s="1039"/>
      <c r="R374" s="1039"/>
      <c r="S374" s="1039"/>
      <c r="T374" s="1039"/>
      <c r="U374" s="1039"/>
      <c r="V374" s="1039"/>
      <c r="W374" s="1039"/>
      <c r="X374" s="1039"/>
      <c r="Y374" s="1039"/>
      <c r="Z374" s="1039"/>
      <c r="AI374" s="1034"/>
      <c r="AJ374" s="1034"/>
      <c r="AK374" s="1034"/>
      <c r="AL374" s="1034"/>
      <c r="AM374" s="1034"/>
      <c r="AN374" s="1034"/>
      <c r="AO374" s="1034"/>
      <c r="CN374" s="753"/>
      <c r="CO374" s="753"/>
      <c r="CP374" s="753"/>
      <c r="CQ374" s="753"/>
      <c r="CR374" s="753"/>
      <c r="CS374" s="753"/>
      <c r="CT374" s="753"/>
      <c r="CU374" s="753"/>
      <c r="CV374" s="753"/>
      <c r="CW374" s="753"/>
      <c r="CX374" s="753"/>
      <c r="CY374" s="753"/>
      <c r="CZ374" s="753"/>
      <c r="DA374" s="753"/>
      <c r="DB374" s="753"/>
      <c r="DC374" s="753"/>
      <c r="DD374" s="753"/>
      <c r="DE374" s="753"/>
      <c r="DF374" s="753"/>
      <c r="DG374" s="753"/>
      <c r="DH374" s="753"/>
      <c r="DI374" s="753"/>
      <c r="DJ374" s="753"/>
      <c r="DK374" s="753"/>
      <c r="DL374" s="753"/>
      <c r="DN374" s="775"/>
    </row>
    <row r="375" spans="1:118" s="758" customFormat="1">
      <c r="A375" s="825"/>
      <c r="B375" s="825"/>
      <c r="C375" s="825"/>
      <c r="D375" s="825"/>
      <c r="E375" s="825"/>
      <c r="F375" s="825"/>
      <c r="G375" s="825"/>
      <c r="H375" s="825"/>
      <c r="I375" s="825"/>
      <c r="J375" s="1039"/>
      <c r="K375" s="1039"/>
      <c r="L375" s="1039"/>
      <c r="M375" s="1039"/>
      <c r="N375" s="1039"/>
      <c r="O375" s="1090"/>
      <c r="P375" s="1039"/>
      <c r="Q375" s="1039"/>
      <c r="R375" s="1039"/>
      <c r="S375" s="1039"/>
      <c r="T375" s="1039"/>
      <c r="U375" s="1039"/>
      <c r="V375" s="1039"/>
      <c r="W375" s="1039"/>
      <c r="X375" s="1039"/>
      <c r="Y375" s="1039"/>
      <c r="Z375" s="1039"/>
      <c r="AI375" s="1034"/>
      <c r="AJ375" s="1034"/>
      <c r="AK375" s="1034"/>
      <c r="AL375" s="1034"/>
      <c r="AM375" s="1034"/>
      <c r="AN375" s="1034"/>
      <c r="AO375" s="1034"/>
      <c r="CN375" s="753"/>
      <c r="CO375" s="753"/>
      <c r="CP375" s="753"/>
      <c r="CQ375" s="753"/>
      <c r="CR375" s="753"/>
      <c r="CS375" s="753"/>
      <c r="CT375" s="753"/>
      <c r="CU375" s="753"/>
      <c r="CV375" s="753"/>
      <c r="CW375" s="753"/>
      <c r="CX375" s="753"/>
      <c r="CY375" s="753"/>
      <c r="CZ375" s="753"/>
      <c r="DA375" s="753"/>
      <c r="DB375" s="753"/>
      <c r="DC375" s="753"/>
      <c r="DD375" s="753"/>
      <c r="DE375" s="753"/>
      <c r="DF375" s="753"/>
      <c r="DG375" s="753"/>
      <c r="DH375" s="753"/>
      <c r="DI375" s="753"/>
      <c r="DJ375" s="753"/>
      <c r="DK375" s="753"/>
      <c r="DL375" s="753"/>
      <c r="DN375" s="775"/>
    </row>
    <row r="376" spans="1:118" s="758" customFormat="1">
      <c r="A376" s="825"/>
      <c r="B376" s="825"/>
      <c r="C376" s="825"/>
      <c r="D376" s="825"/>
      <c r="E376" s="825"/>
      <c r="F376" s="825"/>
      <c r="G376" s="825"/>
      <c r="H376" s="825"/>
      <c r="I376" s="825"/>
      <c r="J376" s="1039"/>
      <c r="K376" s="1039"/>
      <c r="L376" s="1039"/>
      <c r="M376" s="1039"/>
      <c r="N376" s="1039"/>
      <c r="O376" s="1090"/>
      <c r="P376" s="1039"/>
      <c r="Q376" s="1039"/>
      <c r="R376" s="1039"/>
      <c r="S376" s="1039"/>
      <c r="T376" s="1039"/>
      <c r="U376" s="1039"/>
      <c r="V376" s="1039"/>
      <c r="W376" s="1039"/>
      <c r="X376" s="1039"/>
      <c r="Y376" s="1039"/>
      <c r="Z376" s="1039"/>
      <c r="AI376" s="1034"/>
      <c r="AJ376" s="1034"/>
      <c r="AK376" s="1034"/>
      <c r="AL376" s="1034"/>
      <c r="AM376" s="1034"/>
      <c r="AN376" s="1034"/>
      <c r="AO376" s="1034"/>
      <c r="CN376" s="753"/>
      <c r="CO376" s="753"/>
      <c r="CP376" s="753"/>
      <c r="CQ376" s="753"/>
      <c r="CR376" s="753"/>
      <c r="CS376" s="753"/>
      <c r="CT376" s="753"/>
      <c r="CU376" s="753"/>
      <c r="CV376" s="753"/>
      <c r="CW376" s="753"/>
      <c r="CX376" s="753"/>
      <c r="CY376" s="753"/>
      <c r="CZ376" s="753"/>
      <c r="DA376" s="753"/>
      <c r="DB376" s="753"/>
      <c r="DC376" s="753"/>
      <c r="DD376" s="753"/>
      <c r="DE376" s="753"/>
      <c r="DF376" s="753"/>
      <c r="DG376" s="753"/>
      <c r="DH376" s="753"/>
      <c r="DI376" s="753"/>
      <c r="DJ376" s="753"/>
      <c r="DK376" s="753"/>
      <c r="DL376" s="753"/>
      <c r="DN376" s="775"/>
    </row>
    <row r="377" spans="1:118" s="758" customFormat="1">
      <c r="A377" s="825"/>
      <c r="B377" s="825"/>
      <c r="C377" s="825"/>
      <c r="D377" s="825"/>
      <c r="E377" s="825"/>
      <c r="F377" s="825"/>
      <c r="G377" s="825"/>
      <c r="H377" s="825"/>
      <c r="I377" s="825"/>
      <c r="J377" s="1039"/>
      <c r="K377" s="1039"/>
      <c r="L377" s="1039"/>
      <c r="M377" s="1039"/>
      <c r="N377" s="1039"/>
      <c r="O377" s="1090"/>
      <c r="P377" s="1039"/>
      <c r="Q377" s="1039"/>
      <c r="R377" s="1039"/>
      <c r="S377" s="1039"/>
      <c r="T377" s="1039"/>
      <c r="U377" s="1039"/>
      <c r="V377" s="1039"/>
      <c r="W377" s="1039"/>
      <c r="X377" s="1039"/>
      <c r="Y377" s="1039"/>
      <c r="Z377" s="1039"/>
      <c r="AI377" s="1034"/>
      <c r="AJ377" s="1034"/>
      <c r="AK377" s="1034"/>
      <c r="AL377" s="1034"/>
      <c r="AM377" s="1034"/>
      <c r="AN377" s="1034"/>
      <c r="AO377" s="1034"/>
      <c r="CN377" s="753"/>
      <c r="CO377" s="753"/>
      <c r="CP377" s="753"/>
      <c r="CQ377" s="753"/>
      <c r="CR377" s="753"/>
      <c r="CS377" s="753"/>
      <c r="CT377" s="753"/>
      <c r="CU377" s="753"/>
      <c r="CV377" s="753"/>
      <c r="CW377" s="753"/>
      <c r="CX377" s="753"/>
      <c r="CY377" s="753"/>
      <c r="CZ377" s="753"/>
      <c r="DA377" s="753"/>
      <c r="DB377" s="753"/>
      <c r="DC377" s="753"/>
      <c r="DD377" s="753"/>
      <c r="DE377" s="753"/>
      <c r="DF377" s="753"/>
      <c r="DG377" s="753"/>
      <c r="DH377" s="753"/>
      <c r="DI377" s="753"/>
      <c r="DJ377" s="753"/>
      <c r="DK377" s="753"/>
      <c r="DL377" s="753"/>
      <c r="DN377" s="775"/>
    </row>
    <row r="378" spans="1:118" s="758" customFormat="1">
      <c r="A378" s="825"/>
      <c r="B378" s="825"/>
      <c r="C378" s="825"/>
      <c r="D378" s="825"/>
      <c r="E378" s="825"/>
      <c r="F378" s="825"/>
      <c r="G378" s="825"/>
      <c r="H378" s="825"/>
      <c r="I378" s="825"/>
      <c r="J378" s="1039"/>
      <c r="K378" s="1039"/>
      <c r="L378" s="1039"/>
      <c r="M378" s="1039"/>
      <c r="N378" s="1039"/>
      <c r="O378" s="1090"/>
      <c r="P378" s="1039"/>
      <c r="Q378" s="1039"/>
      <c r="R378" s="1039"/>
      <c r="S378" s="1039"/>
      <c r="T378" s="1039"/>
      <c r="U378" s="1039"/>
      <c r="V378" s="1039"/>
      <c r="W378" s="1039"/>
      <c r="X378" s="1039"/>
      <c r="Y378" s="1039"/>
      <c r="Z378" s="1039"/>
      <c r="AI378" s="1034"/>
      <c r="AJ378" s="1034"/>
      <c r="AK378" s="1034"/>
      <c r="AL378" s="1034"/>
      <c r="AM378" s="1034"/>
      <c r="AN378" s="1034"/>
      <c r="AO378" s="1034"/>
      <c r="CN378" s="753"/>
      <c r="CO378" s="753"/>
      <c r="CP378" s="753"/>
      <c r="CQ378" s="753"/>
      <c r="CR378" s="753"/>
      <c r="CS378" s="753"/>
      <c r="CT378" s="753"/>
      <c r="CU378" s="753"/>
      <c r="CV378" s="753"/>
      <c r="CW378" s="753"/>
      <c r="CX378" s="753"/>
      <c r="CY378" s="753"/>
      <c r="CZ378" s="753"/>
      <c r="DA378" s="753"/>
      <c r="DB378" s="753"/>
      <c r="DC378" s="753"/>
      <c r="DD378" s="753"/>
      <c r="DE378" s="753"/>
      <c r="DF378" s="753"/>
      <c r="DG378" s="753"/>
      <c r="DH378" s="753"/>
      <c r="DI378" s="753"/>
      <c r="DJ378" s="753"/>
      <c r="DK378" s="753"/>
      <c r="DL378" s="753"/>
      <c r="DN378" s="775"/>
    </row>
    <row r="379" spans="1:118" s="758" customFormat="1">
      <c r="A379" s="825"/>
      <c r="B379" s="825"/>
      <c r="C379" s="825"/>
      <c r="D379" s="825"/>
      <c r="E379" s="825"/>
      <c r="F379" s="825"/>
      <c r="G379" s="825"/>
      <c r="H379" s="825"/>
      <c r="I379" s="825"/>
      <c r="J379" s="1039"/>
      <c r="K379" s="1039"/>
      <c r="L379" s="1039"/>
      <c r="M379" s="1039"/>
      <c r="N379" s="1039"/>
      <c r="O379" s="1090"/>
      <c r="P379" s="1039"/>
      <c r="Q379" s="1039"/>
      <c r="R379" s="1039"/>
      <c r="S379" s="1039"/>
      <c r="T379" s="1039"/>
      <c r="U379" s="1039"/>
      <c r="V379" s="1039"/>
      <c r="W379" s="1039"/>
      <c r="X379" s="1039"/>
      <c r="Y379" s="1039"/>
      <c r="Z379" s="1039"/>
      <c r="AI379" s="1034"/>
      <c r="AJ379" s="1034"/>
      <c r="AK379" s="1034"/>
      <c r="AL379" s="1034"/>
      <c r="AM379" s="1034"/>
      <c r="AN379" s="1034"/>
      <c r="AO379" s="1034"/>
      <c r="CN379" s="753"/>
      <c r="CO379" s="753"/>
      <c r="CP379" s="753"/>
      <c r="CQ379" s="753"/>
      <c r="CR379" s="753"/>
      <c r="CS379" s="753"/>
      <c r="CT379" s="753"/>
      <c r="CU379" s="753"/>
      <c r="CV379" s="753"/>
      <c r="CW379" s="753"/>
      <c r="CX379" s="753"/>
      <c r="CY379" s="753"/>
      <c r="CZ379" s="753"/>
      <c r="DA379" s="753"/>
      <c r="DB379" s="753"/>
      <c r="DC379" s="753"/>
      <c r="DD379" s="753"/>
      <c r="DE379" s="753"/>
      <c r="DF379" s="753"/>
      <c r="DG379" s="753"/>
      <c r="DH379" s="753"/>
      <c r="DI379" s="753"/>
      <c r="DJ379" s="753"/>
      <c r="DK379" s="753"/>
      <c r="DL379" s="753"/>
      <c r="DN379" s="775"/>
    </row>
    <row r="380" spans="1:118" s="758" customFormat="1">
      <c r="A380" s="825"/>
      <c r="B380" s="825"/>
      <c r="C380" s="825"/>
      <c r="D380" s="825"/>
      <c r="E380" s="825"/>
      <c r="F380" s="825"/>
      <c r="G380" s="825"/>
      <c r="H380" s="825"/>
      <c r="I380" s="825"/>
      <c r="J380" s="1039"/>
      <c r="K380" s="1039"/>
      <c r="L380" s="1039"/>
      <c r="M380" s="1039"/>
      <c r="N380" s="1039"/>
      <c r="O380" s="1090"/>
      <c r="P380" s="1039"/>
      <c r="Q380" s="1039"/>
      <c r="R380" s="1039"/>
      <c r="S380" s="1039"/>
      <c r="T380" s="1039"/>
      <c r="U380" s="1039"/>
      <c r="V380" s="1039"/>
      <c r="W380" s="1039"/>
      <c r="X380" s="1039"/>
      <c r="Y380" s="1039"/>
      <c r="Z380" s="1039"/>
      <c r="AI380" s="1034"/>
      <c r="AJ380" s="1034"/>
      <c r="AK380" s="1034"/>
      <c r="AL380" s="1034"/>
      <c r="AM380" s="1034"/>
      <c r="AN380" s="1034"/>
      <c r="AO380" s="1034"/>
      <c r="CN380" s="753"/>
      <c r="CO380" s="753"/>
      <c r="CP380" s="753"/>
      <c r="CQ380" s="753"/>
      <c r="CR380" s="753"/>
      <c r="CS380" s="753"/>
      <c r="CT380" s="753"/>
      <c r="CU380" s="753"/>
      <c r="CV380" s="753"/>
      <c r="CW380" s="753"/>
      <c r="CX380" s="753"/>
      <c r="CY380" s="753"/>
      <c r="CZ380" s="753"/>
      <c r="DA380" s="753"/>
      <c r="DB380" s="753"/>
      <c r="DC380" s="753"/>
      <c r="DD380" s="753"/>
      <c r="DE380" s="753"/>
      <c r="DF380" s="753"/>
      <c r="DG380" s="753"/>
      <c r="DH380" s="753"/>
      <c r="DI380" s="753"/>
      <c r="DJ380" s="753"/>
      <c r="DK380" s="753"/>
      <c r="DL380" s="753"/>
      <c r="DN380" s="775"/>
    </row>
    <row r="381" spans="1:118" s="758" customFormat="1">
      <c r="A381" s="825"/>
      <c r="B381" s="825"/>
      <c r="C381" s="825"/>
      <c r="D381" s="825"/>
      <c r="E381" s="825"/>
      <c r="F381" s="825"/>
      <c r="G381" s="825"/>
      <c r="H381" s="825"/>
      <c r="I381" s="825"/>
      <c r="J381" s="1039"/>
      <c r="K381" s="1039"/>
      <c r="L381" s="1039"/>
      <c r="M381" s="1039"/>
      <c r="N381" s="1039"/>
      <c r="O381" s="1090"/>
      <c r="P381" s="1039"/>
      <c r="Q381" s="1039"/>
      <c r="R381" s="1039"/>
      <c r="S381" s="1039"/>
      <c r="T381" s="1039"/>
      <c r="U381" s="1039"/>
      <c r="V381" s="1039"/>
      <c r="W381" s="1039"/>
      <c r="X381" s="1039"/>
      <c r="Y381" s="1039"/>
      <c r="Z381" s="1039"/>
      <c r="AI381" s="1034"/>
      <c r="AJ381" s="1034"/>
      <c r="AK381" s="1034"/>
      <c r="AL381" s="1034"/>
      <c r="AM381" s="1034"/>
      <c r="AN381" s="1034"/>
      <c r="AO381" s="1034"/>
      <c r="CN381" s="753"/>
      <c r="CO381" s="753"/>
      <c r="CP381" s="753"/>
      <c r="CQ381" s="753"/>
      <c r="CR381" s="753"/>
      <c r="CS381" s="753"/>
      <c r="CT381" s="753"/>
      <c r="CU381" s="753"/>
      <c r="CV381" s="753"/>
      <c r="CW381" s="753"/>
      <c r="CX381" s="753"/>
      <c r="CY381" s="753"/>
      <c r="CZ381" s="753"/>
      <c r="DA381" s="753"/>
      <c r="DB381" s="753"/>
      <c r="DC381" s="753"/>
      <c r="DD381" s="753"/>
      <c r="DE381" s="753"/>
      <c r="DF381" s="753"/>
      <c r="DG381" s="753"/>
      <c r="DH381" s="753"/>
      <c r="DI381" s="753"/>
      <c r="DJ381" s="753"/>
      <c r="DK381" s="753"/>
      <c r="DL381" s="753"/>
      <c r="DN381" s="775"/>
    </row>
    <row r="382" spans="1:118" s="758" customFormat="1">
      <c r="A382" s="825"/>
      <c r="B382" s="825"/>
      <c r="C382" s="825"/>
      <c r="D382" s="825"/>
      <c r="E382" s="825"/>
      <c r="F382" s="825"/>
      <c r="G382" s="825"/>
      <c r="H382" s="825"/>
      <c r="I382" s="825"/>
      <c r="J382" s="1039"/>
      <c r="K382" s="1039"/>
      <c r="L382" s="1039"/>
      <c r="M382" s="1039"/>
      <c r="N382" s="1039"/>
      <c r="O382" s="1090"/>
      <c r="P382" s="1039"/>
      <c r="Q382" s="1039"/>
      <c r="R382" s="1039"/>
      <c r="S382" s="1039"/>
      <c r="T382" s="1039"/>
      <c r="U382" s="1039"/>
      <c r="V382" s="1039"/>
      <c r="W382" s="1039"/>
      <c r="X382" s="1039"/>
      <c r="Y382" s="1039"/>
      <c r="Z382" s="1039"/>
      <c r="AI382" s="1034"/>
      <c r="AJ382" s="1034"/>
      <c r="AK382" s="1034"/>
      <c r="AL382" s="1034"/>
      <c r="AM382" s="1034"/>
      <c r="AN382" s="1034"/>
      <c r="AO382" s="1034"/>
      <c r="CN382" s="753"/>
      <c r="CO382" s="753"/>
      <c r="CP382" s="753"/>
      <c r="CQ382" s="753"/>
      <c r="CR382" s="753"/>
      <c r="CS382" s="753"/>
      <c r="CT382" s="753"/>
      <c r="CU382" s="753"/>
      <c r="CV382" s="753"/>
      <c r="CW382" s="753"/>
      <c r="CX382" s="753"/>
      <c r="CY382" s="753"/>
      <c r="CZ382" s="753"/>
      <c r="DA382" s="753"/>
      <c r="DB382" s="753"/>
      <c r="DC382" s="753"/>
      <c r="DD382" s="753"/>
      <c r="DE382" s="753"/>
      <c r="DF382" s="753"/>
      <c r="DG382" s="753"/>
      <c r="DH382" s="753"/>
      <c r="DI382" s="753"/>
      <c r="DJ382" s="753"/>
      <c r="DK382" s="753"/>
      <c r="DL382" s="753"/>
      <c r="DN382" s="775"/>
    </row>
    <row r="383" spans="1:118" s="758" customFormat="1">
      <c r="A383" s="825"/>
      <c r="B383" s="825"/>
      <c r="C383" s="825"/>
      <c r="D383" s="825"/>
      <c r="E383" s="825"/>
      <c r="F383" s="825"/>
      <c r="G383" s="825"/>
      <c r="H383" s="825"/>
      <c r="I383" s="825"/>
      <c r="J383" s="1039"/>
      <c r="K383" s="1039"/>
      <c r="L383" s="1039"/>
      <c r="M383" s="1039"/>
      <c r="N383" s="1039"/>
      <c r="O383" s="1090"/>
      <c r="P383" s="1039"/>
      <c r="Q383" s="1039"/>
      <c r="R383" s="1039"/>
      <c r="S383" s="1039"/>
      <c r="T383" s="1039"/>
      <c r="U383" s="1039"/>
      <c r="V383" s="1039"/>
      <c r="W383" s="1039"/>
      <c r="X383" s="1039"/>
      <c r="Y383" s="1039"/>
      <c r="Z383" s="1039"/>
      <c r="AI383" s="1034"/>
      <c r="AJ383" s="1034"/>
      <c r="AK383" s="1034"/>
      <c r="AL383" s="1034"/>
      <c r="AM383" s="1034"/>
      <c r="AN383" s="1034"/>
      <c r="AO383" s="1034"/>
      <c r="CN383" s="753"/>
      <c r="CO383" s="753"/>
      <c r="CP383" s="753"/>
      <c r="CQ383" s="753"/>
      <c r="CR383" s="753"/>
      <c r="CS383" s="753"/>
      <c r="CT383" s="753"/>
      <c r="CU383" s="753"/>
      <c r="CV383" s="753"/>
      <c r="CW383" s="753"/>
      <c r="CX383" s="753"/>
      <c r="CY383" s="753"/>
      <c r="CZ383" s="753"/>
      <c r="DA383" s="753"/>
      <c r="DB383" s="753"/>
      <c r="DC383" s="753"/>
      <c r="DD383" s="753"/>
      <c r="DE383" s="753"/>
      <c r="DF383" s="753"/>
      <c r="DG383" s="753"/>
      <c r="DH383" s="753"/>
      <c r="DI383" s="753"/>
      <c r="DJ383" s="753"/>
      <c r="DK383" s="753"/>
      <c r="DL383" s="753"/>
      <c r="DN383" s="775"/>
    </row>
    <row r="384" spans="1:118" s="758" customFormat="1">
      <c r="A384" s="825"/>
      <c r="B384" s="825"/>
      <c r="C384" s="825"/>
      <c r="D384" s="825"/>
      <c r="E384" s="825"/>
      <c r="F384" s="825"/>
      <c r="G384" s="825"/>
      <c r="H384" s="825"/>
      <c r="I384" s="825"/>
      <c r="J384" s="1039"/>
      <c r="K384" s="1039"/>
      <c r="L384" s="1039"/>
      <c r="M384" s="1039"/>
      <c r="N384" s="1039"/>
      <c r="O384" s="1090"/>
      <c r="P384" s="1039"/>
      <c r="Q384" s="1039"/>
      <c r="R384" s="1039"/>
      <c r="S384" s="1039"/>
      <c r="T384" s="1039"/>
      <c r="U384" s="1039"/>
      <c r="V384" s="1039"/>
      <c r="W384" s="1039"/>
      <c r="X384" s="1039"/>
      <c r="Y384" s="1039"/>
      <c r="Z384" s="1039"/>
      <c r="AI384" s="1034"/>
      <c r="AJ384" s="1034"/>
      <c r="AK384" s="1034"/>
      <c r="AL384" s="1034"/>
      <c r="AM384" s="1034"/>
      <c r="AN384" s="1034"/>
      <c r="AO384" s="1034"/>
      <c r="CN384" s="753"/>
      <c r="CO384" s="753"/>
      <c r="CP384" s="753"/>
      <c r="CQ384" s="753"/>
      <c r="CR384" s="753"/>
      <c r="CS384" s="753"/>
      <c r="CT384" s="753"/>
      <c r="CU384" s="753"/>
      <c r="CV384" s="753"/>
      <c r="CW384" s="753"/>
      <c r="CX384" s="753"/>
      <c r="CY384" s="753"/>
      <c r="CZ384" s="753"/>
      <c r="DA384" s="753"/>
      <c r="DB384" s="753"/>
      <c r="DC384" s="753"/>
      <c r="DD384" s="753"/>
      <c r="DE384" s="753"/>
      <c r="DF384" s="753"/>
      <c r="DG384" s="753"/>
      <c r="DH384" s="753"/>
      <c r="DI384" s="753"/>
      <c r="DJ384" s="753"/>
      <c r="DK384" s="753"/>
      <c r="DL384" s="753"/>
      <c r="DN384" s="775"/>
    </row>
    <row r="385" spans="1:118" s="758" customFormat="1">
      <c r="A385" s="825"/>
      <c r="B385" s="825"/>
      <c r="C385" s="825"/>
      <c r="D385" s="825"/>
      <c r="E385" s="825"/>
      <c r="F385" s="825"/>
      <c r="G385" s="825"/>
      <c r="H385" s="825"/>
      <c r="I385" s="825"/>
      <c r="J385" s="1039"/>
      <c r="K385" s="1039"/>
      <c r="L385" s="1039"/>
      <c r="M385" s="1039"/>
      <c r="N385" s="1039"/>
      <c r="O385" s="1090"/>
      <c r="P385" s="1039"/>
      <c r="Q385" s="1039"/>
      <c r="R385" s="1039"/>
      <c r="S385" s="1039"/>
      <c r="T385" s="1039"/>
      <c r="U385" s="1039"/>
      <c r="V385" s="1039"/>
      <c r="W385" s="1039"/>
      <c r="X385" s="1039"/>
      <c r="Y385" s="1039"/>
      <c r="Z385" s="1039"/>
      <c r="AI385" s="1034"/>
      <c r="AJ385" s="1034"/>
      <c r="AK385" s="1034"/>
      <c r="AL385" s="1034"/>
      <c r="AM385" s="1034"/>
      <c r="AN385" s="1034"/>
      <c r="AO385" s="1034"/>
      <c r="CN385" s="753"/>
      <c r="CO385" s="753"/>
      <c r="CP385" s="753"/>
      <c r="CQ385" s="753"/>
      <c r="CR385" s="753"/>
      <c r="CS385" s="753"/>
      <c r="CT385" s="753"/>
      <c r="CU385" s="753"/>
      <c r="CV385" s="753"/>
      <c r="CW385" s="753"/>
      <c r="CX385" s="753"/>
      <c r="CY385" s="753"/>
      <c r="CZ385" s="753"/>
      <c r="DA385" s="753"/>
      <c r="DB385" s="753"/>
      <c r="DC385" s="753"/>
      <c r="DD385" s="753"/>
      <c r="DE385" s="753"/>
      <c r="DF385" s="753"/>
      <c r="DG385" s="753"/>
      <c r="DH385" s="753"/>
      <c r="DI385" s="753"/>
      <c r="DJ385" s="753"/>
      <c r="DK385" s="753"/>
      <c r="DL385" s="753"/>
      <c r="DN385" s="775"/>
    </row>
    <row r="386" spans="1:118" s="758" customFormat="1">
      <c r="A386" s="825"/>
      <c r="B386" s="825"/>
      <c r="C386" s="825"/>
      <c r="D386" s="825"/>
      <c r="E386" s="825"/>
      <c r="F386" s="825"/>
      <c r="G386" s="825"/>
      <c r="H386" s="825"/>
      <c r="I386" s="825"/>
      <c r="J386" s="1039"/>
      <c r="K386" s="1039"/>
      <c r="L386" s="1039"/>
      <c r="M386" s="1039"/>
      <c r="N386" s="1039"/>
      <c r="O386" s="1090"/>
      <c r="P386" s="1039"/>
      <c r="Q386" s="1039"/>
      <c r="R386" s="1039"/>
      <c r="S386" s="1039"/>
      <c r="T386" s="1039"/>
      <c r="U386" s="1039"/>
      <c r="V386" s="1039"/>
      <c r="W386" s="1039"/>
      <c r="X386" s="1039"/>
      <c r="Y386" s="1039"/>
      <c r="Z386" s="1039"/>
      <c r="AI386" s="1034"/>
      <c r="AJ386" s="1034"/>
      <c r="AK386" s="1034"/>
      <c r="AL386" s="1034"/>
      <c r="AM386" s="1034"/>
      <c r="AN386" s="1034"/>
      <c r="AO386" s="1034"/>
      <c r="CN386" s="753"/>
      <c r="CO386" s="753"/>
      <c r="CP386" s="753"/>
      <c r="CQ386" s="753"/>
      <c r="CR386" s="753"/>
      <c r="CS386" s="753"/>
      <c r="CT386" s="753"/>
      <c r="CU386" s="753"/>
      <c r="CV386" s="753"/>
      <c r="CW386" s="753"/>
      <c r="CX386" s="753"/>
      <c r="CY386" s="753"/>
      <c r="CZ386" s="753"/>
      <c r="DA386" s="753"/>
      <c r="DB386" s="753"/>
      <c r="DC386" s="753"/>
      <c r="DD386" s="753"/>
      <c r="DE386" s="753"/>
      <c r="DF386" s="753"/>
      <c r="DG386" s="753"/>
      <c r="DH386" s="753"/>
      <c r="DI386" s="753"/>
      <c r="DJ386" s="753"/>
      <c r="DK386" s="753"/>
      <c r="DL386" s="753"/>
      <c r="DN386" s="775"/>
    </row>
    <row r="387" spans="1:118" s="758" customFormat="1">
      <c r="A387" s="825"/>
      <c r="B387" s="825"/>
      <c r="C387" s="825"/>
      <c r="D387" s="825"/>
      <c r="E387" s="825"/>
      <c r="F387" s="825"/>
      <c r="G387" s="825"/>
      <c r="H387" s="825"/>
      <c r="I387" s="825"/>
      <c r="J387" s="1039"/>
      <c r="K387" s="1039"/>
      <c r="L387" s="1039"/>
      <c r="M387" s="1039"/>
      <c r="N387" s="1039"/>
      <c r="O387" s="1090"/>
      <c r="P387" s="1039"/>
      <c r="Q387" s="1039"/>
      <c r="R387" s="1039"/>
      <c r="S387" s="1039"/>
      <c r="T387" s="1039"/>
      <c r="U387" s="1039"/>
      <c r="V387" s="1039"/>
      <c r="W387" s="1039"/>
      <c r="X387" s="1039"/>
      <c r="Y387" s="1039"/>
      <c r="Z387" s="1039"/>
      <c r="AI387" s="1034"/>
      <c r="AJ387" s="1034"/>
      <c r="AK387" s="1034"/>
      <c r="AL387" s="1034"/>
      <c r="AM387" s="1034"/>
      <c r="AN387" s="1034"/>
      <c r="AO387" s="1034"/>
      <c r="CN387" s="753"/>
      <c r="CO387" s="753"/>
      <c r="CP387" s="753"/>
      <c r="CQ387" s="753"/>
      <c r="CR387" s="753"/>
      <c r="CS387" s="753"/>
      <c r="CT387" s="753"/>
      <c r="CU387" s="753"/>
      <c r="CV387" s="753"/>
      <c r="CW387" s="753"/>
      <c r="CX387" s="753"/>
      <c r="CY387" s="753"/>
      <c r="CZ387" s="753"/>
      <c r="DA387" s="753"/>
      <c r="DB387" s="753"/>
      <c r="DC387" s="753"/>
      <c r="DD387" s="753"/>
      <c r="DE387" s="753"/>
      <c r="DF387" s="753"/>
      <c r="DG387" s="753"/>
      <c r="DH387" s="753"/>
      <c r="DI387" s="753"/>
      <c r="DJ387" s="753"/>
      <c r="DK387" s="753"/>
      <c r="DL387" s="753"/>
      <c r="DN387" s="775"/>
    </row>
    <row r="388" spans="1:118">
      <c r="CN388" s="15"/>
      <c r="CO388" s="15"/>
      <c r="CP388" s="15"/>
      <c r="CQ388" s="15"/>
      <c r="CR388" s="15"/>
      <c r="CS388" s="15"/>
      <c r="CT388" s="15"/>
      <c r="CU388" s="15"/>
      <c r="CV388" s="15"/>
      <c r="CW388" s="15"/>
      <c r="CX388" s="15"/>
      <c r="CY388" s="15"/>
      <c r="CZ388" s="15"/>
      <c r="DA388" s="15"/>
      <c r="DB388" s="15"/>
      <c r="DC388" s="15"/>
      <c r="DD388" s="15"/>
      <c r="DE388" s="15"/>
      <c r="DF388" s="15"/>
      <c r="DG388" s="15"/>
      <c r="DH388" s="15"/>
      <c r="DI388" s="15"/>
      <c r="DJ388" s="15"/>
      <c r="DK388" s="15"/>
      <c r="DL388" s="15"/>
    </row>
  </sheetData>
  <sheetProtection sheet="1" objects="1" scenarios="1"/>
  <mergeCells count="13">
    <mergeCell ref="U77:U78"/>
    <mergeCell ref="U79:U80"/>
    <mergeCell ref="U92:U93"/>
    <mergeCell ref="U94:U96"/>
    <mergeCell ref="U102:U103"/>
    <mergeCell ref="AB6:AE6"/>
    <mergeCell ref="AB9:AG9"/>
    <mergeCell ref="AA1:AB1"/>
    <mergeCell ref="U68:U69"/>
    <mergeCell ref="D17:I19"/>
    <mergeCell ref="AB18:AG18"/>
    <mergeCell ref="U52:U53"/>
    <mergeCell ref="U66:U67"/>
  </mergeCells>
  <dataValidations disablePrompts="1" xWindow="235" yWindow="367" count="16">
    <dataValidation allowBlank="1" showInputMessage="1" showErrorMessage="1" prompt="The 1.0 Sec. Mapped Spectral Response Acceleration value, S1, can be determined either from ASCE 7-05 Figures 22-1 through 22-14 on pages 210-227, or by using the earthquake Ground Motion Parameters Calculator downloaded from the USGS website." sqref="WVK98305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dataValidation allowBlank="1" showInputMessage="1" showErrorMessage="1" prompt="The 0.2 Sec. Mapped Spectral Response Acceleration value, Ss, can be determined either from ASCE 7-05 Figures 22-1 through 22-14 on pages 210-227, or by using the earthquake Ground Motion Parameters Calculator downloaded from the USGS website._x000a_" sqref="WVK98305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dataValidation allowBlank="1" showInputMessage="1" showErrorMessage="1" prompt="Location Zip Code can be used to determine Design Spectral Response Acceleration values, Ss and S1.  An earthquake Ground Motion Parameters Calculator may be downloaded from the USGS website at: _x000a_http://earthquake.usgs.gov/hazards/designmaps/javacalc.php" sqref="WVK98305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dataValidation type="list" allowBlank="1" showInputMessage="1" showErrorMessage="1"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formula1>$K$3:$K$6</formula1>
    </dataValidation>
    <dataValidation type="list" allowBlank="1" showInputMessage="1" showErrorMessage="1" errorTitle="Warning!" error="Invalid steel yield strength" sqref="RDZ983108:RDZ983115 JF68:JF75 TB68:TB75 ACX68:ACX75 AMT68:AMT75 AWP68:AWP75 BGL68:BGL75 BQH68:BQH75 CAD68:CAD75 CJZ68:CJZ75 CTV68:CTV75 DDR68:DDR75 DNN68:DNN75 DXJ68:DXJ75 EHF68:EHF75 ERB68:ERB75 FAX68:FAX75 FKT68:FKT75 FUP68:FUP75 GEL68:GEL75 GOH68:GOH75 GYD68:GYD75 HHZ68:HHZ75 HRV68:HRV75 IBR68:IBR75 ILN68:ILN75 IVJ68:IVJ75 JFF68:JFF75 JPB68:JPB75 JYX68:JYX75 KIT68:KIT75 KSP68:KSP75 LCL68:LCL75 LMH68:LMH75 LWD68:LWD75 MFZ68:MFZ75 MPV68:MPV75 MZR68:MZR75 NJN68:NJN75 NTJ68:NTJ75 ODF68:ODF75 ONB68:ONB75 OWX68:OWX75 PGT68:PGT75 PQP68:PQP75 QAL68:QAL75 QKH68:QKH75 QUD68:QUD75 RDZ68:RDZ75 RNV68:RNV75 RXR68:RXR75 SHN68:SHN75 SRJ68:SRJ75 TBF68:TBF75 TLB68:TLB75 TUX68:TUX75 UET68:UET75 UOP68:UOP75 UYL68:UYL75 VIH68:VIH75 VSD68:VSD75 WBZ68:WBZ75 WLV68:WLV75 WVR68:WVR75 RNV983108:RNV983115 JF65604:JF65611 TB65604:TB65611 ACX65604:ACX65611 AMT65604:AMT65611 AWP65604:AWP65611 BGL65604:BGL65611 BQH65604:BQH65611 CAD65604:CAD65611 CJZ65604:CJZ65611 CTV65604:CTV65611 DDR65604:DDR65611 DNN65604:DNN65611 DXJ65604:DXJ65611 EHF65604:EHF65611 ERB65604:ERB65611 FAX65604:FAX65611 FKT65604:FKT65611 FUP65604:FUP65611 GEL65604:GEL65611 GOH65604:GOH65611 GYD65604:GYD65611 HHZ65604:HHZ65611 HRV65604:HRV65611 IBR65604:IBR65611 ILN65604:ILN65611 IVJ65604:IVJ65611 JFF65604:JFF65611 JPB65604:JPB65611 JYX65604:JYX65611 KIT65604:KIT65611 KSP65604:KSP65611 LCL65604:LCL65611 LMH65604:LMH65611 LWD65604:LWD65611 MFZ65604:MFZ65611 MPV65604:MPV65611 MZR65604:MZR65611 NJN65604:NJN65611 NTJ65604:NTJ65611 ODF65604:ODF65611 ONB65604:ONB65611 OWX65604:OWX65611 PGT65604:PGT65611 PQP65604:PQP65611 QAL65604:QAL65611 QKH65604:QKH65611 QUD65604:QUD65611 RDZ65604:RDZ65611 RNV65604:RNV65611 RXR65604:RXR65611 SHN65604:SHN65611 SRJ65604:SRJ65611 TBF65604:TBF65611 TLB65604:TLB65611 TUX65604:TUX65611 UET65604:UET65611 UOP65604:UOP65611 UYL65604:UYL65611 VIH65604:VIH65611 VSD65604:VSD65611 WBZ65604:WBZ65611 WLV65604:WLV65611 WVR65604:WVR65611 RXR983108:RXR983115 JF131140:JF131147 TB131140:TB131147 ACX131140:ACX131147 AMT131140:AMT131147 AWP131140:AWP131147 BGL131140:BGL131147 BQH131140:BQH131147 CAD131140:CAD131147 CJZ131140:CJZ131147 CTV131140:CTV131147 DDR131140:DDR131147 DNN131140:DNN131147 DXJ131140:DXJ131147 EHF131140:EHF131147 ERB131140:ERB131147 FAX131140:FAX131147 FKT131140:FKT131147 FUP131140:FUP131147 GEL131140:GEL131147 GOH131140:GOH131147 GYD131140:GYD131147 HHZ131140:HHZ131147 HRV131140:HRV131147 IBR131140:IBR131147 ILN131140:ILN131147 IVJ131140:IVJ131147 JFF131140:JFF131147 JPB131140:JPB131147 JYX131140:JYX131147 KIT131140:KIT131147 KSP131140:KSP131147 LCL131140:LCL131147 LMH131140:LMH131147 LWD131140:LWD131147 MFZ131140:MFZ131147 MPV131140:MPV131147 MZR131140:MZR131147 NJN131140:NJN131147 NTJ131140:NTJ131147 ODF131140:ODF131147 ONB131140:ONB131147 OWX131140:OWX131147 PGT131140:PGT131147 PQP131140:PQP131147 QAL131140:QAL131147 QKH131140:QKH131147 QUD131140:QUD131147 RDZ131140:RDZ131147 RNV131140:RNV131147 RXR131140:RXR131147 SHN131140:SHN131147 SRJ131140:SRJ131147 TBF131140:TBF131147 TLB131140:TLB131147 TUX131140:TUX131147 UET131140:UET131147 UOP131140:UOP131147 UYL131140:UYL131147 VIH131140:VIH131147 VSD131140:VSD131147 WBZ131140:WBZ131147 WLV131140:WLV131147 WVR131140:WVR131147 SHN983108:SHN983115 JF196676:JF196683 TB196676:TB196683 ACX196676:ACX196683 AMT196676:AMT196683 AWP196676:AWP196683 BGL196676:BGL196683 BQH196676:BQH196683 CAD196676:CAD196683 CJZ196676:CJZ196683 CTV196676:CTV196683 DDR196676:DDR196683 DNN196676:DNN196683 DXJ196676:DXJ196683 EHF196676:EHF196683 ERB196676:ERB196683 FAX196676:FAX196683 FKT196676:FKT196683 FUP196676:FUP196683 GEL196676:GEL196683 GOH196676:GOH196683 GYD196676:GYD196683 HHZ196676:HHZ196683 HRV196676:HRV196683 IBR196676:IBR196683 ILN196676:ILN196683 IVJ196676:IVJ196683 JFF196676:JFF196683 JPB196676:JPB196683 JYX196676:JYX196683 KIT196676:KIT196683 KSP196676:KSP196683 LCL196676:LCL196683 LMH196676:LMH196683 LWD196676:LWD196683 MFZ196676:MFZ196683 MPV196676:MPV196683 MZR196676:MZR196683 NJN196676:NJN196683 NTJ196676:NTJ196683 ODF196676:ODF196683 ONB196676:ONB196683 OWX196676:OWX196683 PGT196676:PGT196683 PQP196676:PQP196683 QAL196676:QAL196683 QKH196676:QKH196683 QUD196676:QUD196683 RDZ196676:RDZ196683 RNV196676:RNV196683 RXR196676:RXR196683 SHN196676:SHN196683 SRJ196676:SRJ196683 TBF196676:TBF196683 TLB196676:TLB196683 TUX196676:TUX196683 UET196676:UET196683 UOP196676:UOP196683 UYL196676:UYL196683 VIH196676:VIH196683 VSD196676:VSD196683 WBZ196676:WBZ196683 WLV196676:WLV196683 WVR196676:WVR196683 SRJ983108:SRJ983115 JF262212:JF262219 TB262212:TB262219 ACX262212:ACX262219 AMT262212:AMT262219 AWP262212:AWP262219 BGL262212:BGL262219 BQH262212:BQH262219 CAD262212:CAD262219 CJZ262212:CJZ262219 CTV262212:CTV262219 DDR262212:DDR262219 DNN262212:DNN262219 DXJ262212:DXJ262219 EHF262212:EHF262219 ERB262212:ERB262219 FAX262212:FAX262219 FKT262212:FKT262219 FUP262212:FUP262219 GEL262212:GEL262219 GOH262212:GOH262219 GYD262212:GYD262219 HHZ262212:HHZ262219 HRV262212:HRV262219 IBR262212:IBR262219 ILN262212:ILN262219 IVJ262212:IVJ262219 JFF262212:JFF262219 JPB262212:JPB262219 JYX262212:JYX262219 KIT262212:KIT262219 KSP262212:KSP262219 LCL262212:LCL262219 LMH262212:LMH262219 LWD262212:LWD262219 MFZ262212:MFZ262219 MPV262212:MPV262219 MZR262212:MZR262219 NJN262212:NJN262219 NTJ262212:NTJ262219 ODF262212:ODF262219 ONB262212:ONB262219 OWX262212:OWX262219 PGT262212:PGT262219 PQP262212:PQP262219 QAL262212:QAL262219 QKH262212:QKH262219 QUD262212:QUD262219 RDZ262212:RDZ262219 RNV262212:RNV262219 RXR262212:RXR262219 SHN262212:SHN262219 SRJ262212:SRJ262219 TBF262212:TBF262219 TLB262212:TLB262219 TUX262212:TUX262219 UET262212:UET262219 UOP262212:UOP262219 UYL262212:UYL262219 VIH262212:VIH262219 VSD262212:VSD262219 WBZ262212:WBZ262219 WLV262212:WLV262219 WVR262212:WVR262219 TBF983108:TBF983115 JF327748:JF327755 TB327748:TB327755 ACX327748:ACX327755 AMT327748:AMT327755 AWP327748:AWP327755 BGL327748:BGL327755 BQH327748:BQH327755 CAD327748:CAD327755 CJZ327748:CJZ327755 CTV327748:CTV327755 DDR327748:DDR327755 DNN327748:DNN327755 DXJ327748:DXJ327755 EHF327748:EHF327755 ERB327748:ERB327755 FAX327748:FAX327755 FKT327748:FKT327755 FUP327748:FUP327755 GEL327748:GEL327755 GOH327748:GOH327755 GYD327748:GYD327755 HHZ327748:HHZ327755 HRV327748:HRV327755 IBR327748:IBR327755 ILN327748:ILN327755 IVJ327748:IVJ327755 JFF327748:JFF327755 JPB327748:JPB327755 JYX327748:JYX327755 KIT327748:KIT327755 KSP327748:KSP327755 LCL327748:LCL327755 LMH327748:LMH327755 LWD327748:LWD327755 MFZ327748:MFZ327755 MPV327748:MPV327755 MZR327748:MZR327755 NJN327748:NJN327755 NTJ327748:NTJ327755 ODF327748:ODF327755 ONB327748:ONB327755 OWX327748:OWX327755 PGT327748:PGT327755 PQP327748:PQP327755 QAL327748:QAL327755 QKH327748:QKH327755 QUD327748:QUD327755 RDZ327748:RDZ327755 RNV327748:RNV327755 RXR327748:RXR327755 SHN327748:SHN327755 SRJ327748:SRJ327755 TBF327748:TBF327755 TLB327748:TLB327755 TUX327748:TUX327755 UET327748:UET327755 UOP327748:UOP327755 UYL327748:UYL327755 VIH327748:VIH327755 VSD327748:VSD327755 WBZ327748:WBZ327755 WLV327748:WLV327755 WVR327748:WVR327755 TLB983108:TLB983115 JF393284:JF393291 TB393284:TB393291 ACX393284:ACX393291 AMT393284:AMT393291 AWP393284:AWP393291 BGL393284:BGL393291 BQH393284:BQH393291 CAD393284:CAD393291 CJZ393284:CJZ393291 CTV393284:CTV393291 DDR393284:DDR393291 DNN393284:DNN393291 DXJ393284:DXJ393291 EHF393284:EHF393291 ERB393284:ERB393291 FAX393284:FAX393291 FKT393284:FKT393291 FUP393284:FUP393291 GEL393284:GEL393291 GOH393284:GOH393291 GYD393284:GYD393291 HHZ393284:HHZ393291 HRV393284:HRV393291 IBR393284:IBR393291 ILN393284:ILN393291 IVJ393284:IVJ393291 JFF393284:JFF393291 JPB393284:JPB393291 JYX393284:JYX393291 KIT393284:KIT393291 KSP393284:KSP393291 LCL393284:LCL393291 LMH393284:LMH393291 LWD393284:LWD393291 MFZ393284:MFZ393291 MPV393284:MPV393291 MZR393284:MZR393291 NJN393284:NJN393291 NTJ393284:NTJ393291 ODF393284:ODF393291 ONB393284:ONB393291 OWX393284:OWX393291 PGT393284:PGT393291 PQP393284:PQP393291 QAL393284:QAL393291 QKH393284:QKH393291 QUD393284:QUD393291 RDZ393284:RDZ393291 RNV393284:RNV393291 RXR393284:RXR393291 SHN393284:SHN393291 SRJ393284:SRJ393291 TBF393284:TBF393291 TLB393284:TLB393291 TUX393284:TUX393291 UET393284:UET393291 UOP393284:UOP393291 UYL393284:UYL393291 VIH393284:VIH393291 VSD393284:VSD393291 WBZ393284:WBZ393291 WLV393284:WLV393291 WVR393284:WVR393291 TUX983108:TUX983115 JF458820:JF458827 TB458820:TB458827 ACX458820:ACX458827 AMT458820:AMT458827 AWP458820:AWP458827 BGL458820:BGL458827 BQH458820:BQH458827 CAD458820:CAD458827 CJZ458820:CJZ458827 CTV458820:CTV458827 DDR458820:DDR458827 DNN458820:DNN458827 DXJ458820:DXJ458827 EHF458820:EHF458827 ERB458820:ERB458827 FAX458820:FAX458827 FKT458820:FKT458827 FUP458820:FUP458827 GEL458820:GEL458827 GOH458820:GOH458827 GYD458820:GYD458827 HHZ458820:HHZ458827 HRV458820:HRV458827 IBR458820:IBR458827 ILN458820:ILN458827 IVJ458820:IVJ458827 JFF458820:JFF458827 JPB458820:JPB458827 JYX458820:JYX458827 KIT458820:KIT458827 KSP458820:KSP458827 LCL458820:LCL458827 LMH458820:LMH458827 LWD458820:LWD458827 MFZ458820:MFZ458827 MPV458820:MPV458827 MZR458820:MZR458827 NJN458820:NJN458827 NTJ458820:NTJ458827 ODF458820:ODF458827 ONB458820:ONB458827 OWX458820:OWX458827 PGT458820:PGT458827 PQP458820:PQP458827 QAL458820:QAL458827 QKH458820:QKH458827 QUD458820:QUD458827 RDZ458820:RDZ458827 RNV458820:RNV458827 RXR458820:RXR458827 SHN458820:SHN458827 SRJ458820:SRJ458827 TBF458820:TBF458827 TLB458820:TLB458827 TUX458820:TUX458827 UET458820:UET458827 UOP458820:UOP458827 UYL458820:UYL458827 VIH458820:VIH458827 VSD458820:VSD458827 WBZ458820:WBZ458827 WLV458820:WLV458827 WVR458820:WVR458827 UET983108:UET983115 JF524356:JF524363 TB524356:TB524363 ACX524356:ACX524363 AMT524356:AMT524363 AWP524356:AWP524363 BGL524356:BGL524363 BQH524356:BQH524363 CAD524356:CAD524363 CJZ524356:CJZ524363 CTV524356:CTV524363 DDR524356:DDR524363 DNN524356:DNN524363 DXJ524356:DXJ524363 EHF524356:EHF524363 ERB524356:ERB524363 FAX524356:FAX524363 FKT524356:FKT524363 FUP524356:FUP524363 GEL524356:GEL524363 GOH524356:GOH524363 GYD524356:GYD524363 HHZ524356:HHZ524363 HRV524356:HRV524363 IBR524356:IBR524363 ILN524356:ILN524363 IVJ524356:IVJ524363 JFF524356:JFF524363 JPB524356:JPB524363 JYX524356:JYX524363 KIT524356:KIT524363 KSP524356:KSP524363 LCL524356:LCL524363 LMH524356:LMH524363 LWD524356:LWD524363 MFZ524356:MFZ524363 MPV524356:MPV524363 MZR524356:MZR524363 NJN524356:NJN524363 NTJ524356:NTJ524363 ODF524356:ODF524363 ONB524356:ONB524363 OWX524356:OWX524363 PGT524356:PGT524363 PQP524356:PQP524363 QAL524356:QAL524363 QKH524356:QKH524363 QUD524356:QUD524363 RDZ524356:RDZ524363 RNV524356:RNV524363 RXR524356:RXR524363 SHN524356:SHN524363 SRJ524356:SRJ524363 TBF524356:TBF524363 TLB524356:TLB524363 TUX524356:TUX524363 UET524356:UET524363 UOP524356:UOP524363 UYL524356:UYL524363 VIH524356:VIH524363 VSD524356:VSD524363 WBZ524356:WBZ524363 WLV524356:WLV524363 WVR524356:WVR524363 UOP983108:UOP983115 JF589892:JF589899 TB589892:TB589899 ACX589892:ACX589899 AMT589892:AMT589899 AWP589892:AWP589899 BGL589892:BGL589899 BQH589892:BQH589899 CAD589892:CAD589899 CJZ589892:CJZ589899 CTV589892:CTV589899 DDR589892:DDR589899 DNN589892:DNN589899 DXJ589892:DXJ589899 EHF589892:EHF589899 ERB589892:ERB589899 FAX589892:FAX589899 FKT589892:FKT589899 FUP589892:FUP589899 GEL589892:GEL589899 GOH589892:GOH589899 GYD589892:GYD589899 HHZ589892:HHZ589899 HRV589892:HRV589899 IBR589892:IBR589899 ILN589892:ILN589899 IVJ589892:IVJ589899 JFF589892:JFF589899 JPB589892:JPB589899 JYX589892:JYX589899 KIT589892:KIT589899 KSP589892:KSP589899 LCL589892:LCL589899 LMH589892:LMH589899 LWD589892:LWD589899 MFZ589892:MFZ589899 MPV589892:MPV589899 MZR589892:MZR589899 NJN589892:NJN589899 NTJ589892:NTJ589899 ODF589892:ODF589899 ONB589892:ONB589899 OWX589892:OWX589899 PGT589892:PGT589899 PQP589892:PQP589899 QAL589892:QAL589899 QKH589892:QKH589899 QUD589892:QUD589899 RDZ589892:RDZ589899 RNV589892:RNV589899 RXR589892:RXR589899 SHN589892:SHN589899 SRJ589892:SRJ589899 TBF589892:TBF589899 TLB589892:TLB589899 TUX589892:TUX589899 UET589892:UET589899 UOP589892:UOP589899 UYL589892:UYL589899 VIH589892:VIH589899 VSD589892:VSD589899 WBZ589892:WBZ589899 WLV589892:WLV589899 WVR589892:WVR589899 UYL983108:UYL983115 JF655428:JF655435 TB655428:TB655435 ACX655428:ACX655435 AMT655428:AMT655435 AWP655428:AWP655435 BGL655428:BGL655435 BQH655428:BQH655435 CAD655428:CAD655435 CJZ655428:CJZ655435 CTV655428:CTV655435 DDR655428:DDR655435 DNN655428:DNN655435 DXJ655428:DXJ655435 EHF655428:EHF655435 ERB655428:ERB655435 FAX655428:FAX655435 FKT655428:FKT655435 FUP655428:FUP655435 GEL655428:GEL655435 GOH655428:GOH655435 GYD655428:GYD655435 HHZ655428:HHZ655435 HRV655428:HRV655435 IBR655428:IBR655435 ILN655428:ILN655435 IVJ655428:IVJ655435 JFF655428:JFF655435 JPB655428:JPB655435 JYX655428:JYX655435 KIT655428:KIT655435 KSP655428:KSP655435 LCL655428:LCL655435 LMH655428:LMH655435 LWD655428:LWD655435 MFZ655428:MFZ655435 MPV655428:MPV655435 MZR655428:MZR655435 NJN655428:NJN655435 NTJ655428:NTJ655435 ODF655428:ODF655435 ONB655428:ONB655435 OWX655428:OWX655435 PGT655428:PGT655435 PQP655428:PQP655435 QAL655428:QAL655435 QKH655428:QKH655435 QUD655428:QUD655435 RDZ655428:RDZ655435 RNV655428:RNV655435 RXR655428:RXR655435 SHN655428:SHN655435 SRJ655428:SRJ655435 TBF655428:TBF655435 TLB655428:TLB655435 TUX655428:TUX655435 UET655428:UET655435 UOP655428:UOP655435 UYL655428:UYL655435 VIH655428:VIH655435 VSD655428:VSD655435 WBZ655428:WBZ655435 WLV655428:WLV655435 WVR655428:WVR655435 VIH983108:VIH983115 JF720964:JF720971 TB720964:TB720971 ACX720964:ACX720971 AMT720964:AMT720971 AWP720964:AWP720971 BGL720964:BGL720971 BQH720964:BQH720971 CAD720964:CAD720971 CJZ720964:CJZ720971 CTV720964:CTV720971 DDR720964:DDR720971 DNN720964:DNN720971 DXJ720964:DXJ720971 EHF720964:EHF720971 ERB720964:ERB720971 FAX720964:FAX720971 FKT720964:FKT720971 FUP720964:FUP720971 GEL720964:GEL720971 GOH720964:GOH720971 GYD720964:GYD720971 HHZ720964:HHZ720971 HRV720964:HRV720971 IBR720964:IBR720971 ILN720964:ILN720971 IVJ720964:IVJ720971 JFF720964:JFF720971 JPB720964:JPB720971 JYX720964:JYX720971 KIT720964:KIT720971 KSP720964:KSP720971 LCL720964:LCL720971 LMH720964:LMH720971 LWD720964:LWD720971 MFZ720964:MFZ720971 MPV720964:MPV720971 MZR720964:MZR720971 NJN720964:NJN720971 NTJ720964:NTJ720971 ODF720964:ODF720971 ONB720964:ONB720971 OWX720964:OWX720971 PGT720964:PGT720971 PQP720964:PQP720971 QAL720964:QAL720971 QKH720964:QKH720971 QUD720964:QUD720971 RDZ720964:RDZ720971 RNV720964:RNV720971 RXR720964:RXR720971 SHN720964:SHN720971 SRJ720964:SRJ720971 TBF720964:TBF720971 TLB720964:TLB720971 TUX720964:TUX720971 UET720964:UET720971 UOP720964:UOP720971 UYL720964:UYL720971 VIH720964:VIH720971 VSD720964:VSD720971 WBZ720964:WBZ720971 WLV720964:WLV720971 WVR720964:WVR720971 VSD983108:VSD983115 JF786500:JF786507 TB786500:TB786507 ACX786500:ACX786507 AMT786500:AMT786507 AWP786500:AWP786507 BGL786500:BGL786507 BQH786500:BQH786507 CAD786500:CAD786507 CJZ786500:CJZ786507 CTV786500:CTV786507 DDR786500:DDR786507 DNN786500:DNN786507 DXJ786500:DXJ786507 EHF786500:EHF786507 ERB786500:ERB786507 FAX786500:FAX786507 FKT786500:FKT786507 FUP786500:FUP786507 GEL786500:GEL786507 GOH786500:GOH786507 GYD786500:GYD786507 HHZ786500:HHZ786507 HRV786500:HRV786507 IBR786500:IBR786507 ILN786500:ILN786507 IVJ786500:IVJ786507 JFF786500:JFF786507 JPB786500:JPB786507 JYX786500:JYX786507 KIT786500:KIT786507 KSP786500:KSP786507 LCL786500:LCL786507 LMH786500:LMH786507 LWD786500:LWD786507 MFZ786500:MFZ786507 MPV786500:MPV786507 MZR786500:MZR786507 NJN786500:NJN786507 NTJ786500:NTJ786507 ODF786500:ODF786507 ONB786500:ONB786507 OWX786500:OWX786507 PGT786500:PGT786507 PQP786500:PQP786507 QAL786500:QAL786507 QKH786500:QKH786507 QUD786500:QUD786507 RDZ786500:RDZ786507 RNV786500:RNV786507 RXR786500:RXR786507 SHN786500:SHN786507 SRJ786500:SRJ786507 TBF786500:TBF786507 TLB786500:TLB786507 TUX786500:TUX786507 UET786500:UET786507 UOP786500:UOP786507 UYL786500:UYL786507 VIH786500:VIH786507 VSD786500:VSD786507 WBZ786500:WBZ786507 WLV786500:WLV786507 WVR786500:WVR786507 WBZ983108:WBZ983115 JF852036:JF852043 TB852036:TB852043 ACX852036:ACX852043 AMT852036:AMT852043 AWP852036:AWP852043 BGL852036:BGL852043 BQH852036:BQH852043 CAD852036:CAD852043 CJZ852036:CJZ852043 CTV852036:CTV852043 DDR852036:DDR852043 DNN852036:DNN852043 DXJ852036:DXJ852043 EHF852036:EHF852043 ERB852036:ERB852043 FAX852036:FAX852043 FKT852036:FKT852043 FUP852036:FUP852043 GEL852036:GEL852043 GOH852036:GOH852043 GYD852036:GYD852043 HHZ852036:HHZ852043 HRV852036:HRV852043 IBR852036:IBR852043 ILN852036:ILN852043 IVJ852036:IVJ852043 JFF852036:JFF852043 JPB852036:JPB852043 JYX852036:JYX852043 KIT852036:KIT852043 KSP852036:KSP852043 LCL852036:LCL852043 LMH852036:LMH852043 LWD852036:LWD852043 MFZ852036:MFZ852043 MPV852036:MPV852043 MZR852036:MZR852043 NJN852036:NJN852043 NTJ852036:NTJ852043 ODF852036:ODF852043 ONB852036:ONB852043 OWX852036:OWX852043 PGT852036:PGT852043 PQP852036:PQP852043 QAL852036:QAL852043 QKH852036:QKH852043 QUD852036:QUD852043 RDZ852036:RDZ852043 RNV852036:RNV852043 RXR852036:RXR852043 SHN852036:SHN852043 SRJ852036:SRJ852043 TBF852036:TBF852043 TLB852036:TLB852043 TUX852036:TUX852043 UET852036:UET852043 UOP852036:UOP852043 UYL852036:UYL852043 VIH852036:VIH852043 VSD852036:VSD852043 WBZ852036:WBZ852043 WLV852036:WLV852043 WVR852036:WVR852043 WLV983108:WLV983115 JF917572:JF917579 TB917572:TB917579 ACX917572:ACX917579 AMT917572:AMT917579 AWP917572:AWP917579 BGL917572:BGL917579 BQH917572:BQH917579 CAD917572:CAD917579 CJZ917572:CJZ917579 CTV917572:CTV917579 DDR917572:DDR917579 DNN917572:DNN917579 DXJ917572:DXJ917579 EHF917572:EHF917579 ERB917572:ERB917579 FAX917572:FAX917579 FKT917572:FKT917579 FUP917572:FUP917579 GEL917572:GEL917579 GOH917572:GOH917579 GYD917572:GYD917579 HHZ917572:HHZ917579 HRV917572:HRV917579 IBR917572:IBR917579 ILN917572:ILN917579 IVJ917572:IVJ917579 JFF917572:JFF917579 JPB917572:JPB917579 JYX917572:JYX917579 KIT917572:KIT917579 KSP917572:KSP917579 LCL917572:LCL917579 LMH917572:LMH917579 LWD917572:LWD917579 MFZ917572:MFZ917579 MPV917572:MPV917579 MZR917572:MZR917579 NJN917572:NJN917579 NTJ917572:NTJ917579 ODF917572:ODF917579 ONB917572:ONB917579 OWX917572:OWX917579 PGT917572:PGT917579 PQP917572:PQP917579 QAL917572:QAL917579 QKH917572:QKH917579 QUD917572:QUD917579 RDZ917572:RDZ917579 RNV917572:RNV917579 RXR917572:RXR917579 SHN917572:SHN917579 SRJ917572:SRJ917579 TBF917572:TBF917579 TLB917572:TLB917579 TUX917572:TUX917579 UET917572:UET917579 UOP917572:UOP917579 UYL917572:UYL917579 VIH917572:VIH917579 VSD917572:VSD917579 WBZ917572:WBZ917579 WLV917572:WLV917579 WVR917572:WVR917579 WVR983108:WVR983115 JF983108:JF983115 TB983108:TB983115 ACX983108:ACX983115 AMT983108:AMT983115 AWP983108:AWP983115 BGL983108:BGL983115 BQH983108:BQH983115 CAD983108:CAD983115 CJZ983108:CJZ983115 CTV983108:CTV983115 DDR983108:DDR983115 DNN983108:DNN983115 DXJ983108:DXJ983115 EHF983108:EHF983115 ERB983108:ERB983115 FAX983108:FAX983115 FKT983108:FKT983115 FUP983108:FUP983115 GEL983108:GEL983115 GOH983108:GOH983115 GYD983108:GYD983115 HHZ983108:HHZ983115 HRV983108:HRV983115 IBR983108:IBR983115 ILN983108:ILN983115 IVJ983108:IVJ983115 JFF983108:JFF983115 JPB983108:JPB983115 JYX983108:JYX983115 KIT983108:KIT983115 KSP983108:KSP983115 LCL983108:LCL983115 LMH983108:LMH983115 LWD983108:LWD983115 MFZ983108:MFZ983115 MPV983108:MPV983115 MZR983108:MZR983115 NJN983108:NJN983115 NTJ983108:NTJ983115 ODF983108:ODF983115 ONB983108:ONB983115 OWX983108:OWX983115 PGT983108:PGT983115 PQP983108:PQP983115 QAL983108:QAL983115 QKH983108:QKH983115 QUD983108:QUD983115 J68:J75 J65604:J65611 J131140:J131147 J196676:J196683 J262212:J262219 J327748:J327755 J393284:J393291 J458820:J458827 J524356:J524363 J589892:J589899 J655428:J655435 J720964:J720971 J786500:J786507 J852036:J852043 J917572:J917579 J983108:J983115">
      <formula1>$K$6:$K$7</formula1>
    </dataValidation>
    <dataValidation type="decimal" allowBlank="1" showInputMessage="1" showErrorMessage="1" prompt="&quot;z&quot; is the height in structure at point of attachment of component.  For items at or below base, z = 0.  For items at or above roof, z = h." sqref="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formula1>0</formula1>
      <formula2>$C$13</formula2>
    </dataValidation>
    <dataValidation type="decimal" operator="greaterThanOrEqual" allowBlank="1" showInputMessage="1" showErrorMessage="1" prompt="&quot;Wp&quot; is the Component operating weight."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formula1>0</formula1>
    </dataValidation>
    <dataValidation type="list" allowBlank="1" showInputMessage="1" showErrorMessage="1" prompt="Component Importance Factor, &quot;Ip&quot;, is either equal to 1.00 or 1.50, as determined in ASCE 7-05 Section 13.1.3." sqref="WVK98305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formula1>$K$16:$K$17</formula1>
    </dataValidation>
    <dataValidation type="list" allowBlank="1" showInputMessage="1" showErrorMessage="1" prompt="When soil properties are not known in sufficient detail to determine the site class, Site Class D shall be used unless the building official determines that Class E or F soil is likely to be present at the site."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formula1>$K$10:$K$15</formula1>
    </dataValidation>
    <dataValidation type="decimal" operator="greaterThan" allowBlank="1" showInputMessage="1" showErrorMessage="1" error="Max. height MUST BE &lt;= 240 ft." prompt="'h' is the structure height above the base to the highest level of the structure." sqref="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formula1>0</formula1>
    </dataValidation>
    <dataValidation type="list" allowBlank="1" showInputMessage="1" showErrorMessage="1" prompt="Selections for Structural System are from ASCE 7-05 Table 13.5-1, on page 146." sqref="WVK98305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formula1>$K$18:$K$42</formula1>
    </dataValidation>
    <dataValidation type="list" allowBlank="1" showInputMessage="1" showErrorMessage="1" prompt="Selections for Structural System are from ASCE 7-10 Table 13.5-1, on page 117." sqref="C17">
      <formula1>$K$18:$K$45</formula1>
    </dataValidation>
    <dataValidation allowBlank="1" showInputMessage="1" showErrorMessage="1" prompt="The 1.0 Sec. Mapped Spectral Response Acceleration value, S1, can be determined either from ASCE 7-10 Figures 22-1 through 22-11 on, or by using the earthquake Ground Motion Parameters Calculator used from the USGS website." sqref="C12"/>
    <dataValidation type="list" allowBlank="1" showInputMessage="1" showErrorMessage="1" prompt="Component Importance Factor, &quot;Ip&quot;, is either equal to 1.00 or 1.50, as determined in ASCE 7-10 Section 13.1.3." sqref="C15">
      <formula1>$K$16:$K$17</formula1>
    </dataValidation>
    <dataValidation allowBlank="1" showInputMessage="1" showErrorMessage="1" prompt="Location Zip Code can be used to determine Design Spectral Response Acceleration values, Ss and S1.  An earthquake Ground Motion Parameters Calculator may be used from the USGS website at: _x000a_http://earthquake.usgs.gov/designmaps/us/application.php" sqref="C10"/>
    <dataValidation allowBlank="1" showInputMessage="1" showErrorMessage="1" prompt="The 0.2 Sec. Mapped Spectral Response Acceleration value, Ss, can be determined either from ASCE 7-10 Figures 22-1 through 22-11, or by using the earthquake Ground Motion Parameters Calculator used from the USGS website._x000a_" sqref="C11"/>
  </dataValidations>
  <hyperlinks>
    <hyperlink ref="AH5" r:id="rId1" display="http://earthquake.usgs.gov/research/hazmaps/"/>
    <hyperlink ref="AH5:AK5" r:id="rId2" display="http://earthquake.usgs.gov/research/hazmaps/"/>
    <hyperlink ref="AB9" r:id="rId3" display="http://earthquake.usgs.gov/hazards/designmaps/javacalc.php"/>
    <hyperlink ref="AB9:AG9" r:id="rId4" display="http://earthquake.usgs.gov/designmaps/us/application.php"/>
    <hyperlink ref="AB6" r:id="rId5"/>
  </hyperlinks>
  <pageMargins left="0.7" right="0.7" top="0.75" bottom="0.75" header="0.3" footer="0.3"/>
  <pageSetup scale="96" orientation="portrait" r:id="rId6"/>
  <headerFooter>
    <oddHeader>&amp;R"ASCE710E.xls" Program
Version 2.1</oddHeader>
    <oddFooter>&amp;C&amp;P of &amp;N&amp;R&amp;D  &amp;T</oddFooter>
  </headerFooter>
  <drawing r:id="rId7"/>
  <legacyDrawing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X388"/>
  <sheetViews>
    <sheetView zoomScaleNormal="100" workbookViewId="0">
      <selection activeCell="F11" sqref="F11"/>
    </sheetView>
  </sheetViews>
  <sheetFormatPr defaultRowHeight="12.75"/>
  <cols>
    <col min="1" max="1" width="13.7109375" style="728" customWidth="1"/>
    <col min="2" max="2" width="9.85546875" style="728" customWidth="1"/>
    <col min="3" max="3" width="12.28515625" style="728" customWidth="1"/>
    <col min="4" max="4" width="10.5703125" style="728" customWidth="1"/>
    <col min="5" max="5" width="9.7109375" style="728" customWidth="1"/>
    <col min="6" max="6" width="9.42578125" style="728" customWidth="1"/>
    <col min="7" max="7" width="9.140625" style="728"/>
    <col min="8" max="8" width="8.5703125" style="728" customWidth="1"/>
    <col min="9" max="9" width="10.7109375" style="728" customWidth="1"/>
    <col min="10" max="10" width="9.140625" style="77" hidden="1" customWidth="1"/>
    <col min="11" max="11" width="13.7109375" style="77" hidden="1" customWidth="1"/>
    <col min="12" max="12" width="24.7109375" style="77" hidden="1" customWidth="1"/>
    <col min="13" max="14" width="12.7109375" style="77" hidden="1" customWidth="1"/>
    <col min="15" max="15" width="12.7109375" style="27" hidden="1" customWidth="1"/>
    <col min="16" max="17" width="12.7109375" style="77" hidden="1" customWidth="1"/>
    <col min="18" max="19" width="9.140625" style="77" hidden="1" customWidth="1"/>
    <col min="20" max="20" width="4.7109375" style="77" hidden="1" customWidth="1"/>
    <col min="21" max="21" width="169.7109375" style="77" hidden="1" customWidth="1"/>
    <col min="22" max="24" width="9.7109375" style="77" hidden="1" customWidth="1"/>
    <col min="25" max="26" width="9.140625" style="77" hidden="1" customWidth="1"/>
    <col min="27" max="27" width="11.5703125" style="77" customWidth="1"/>
    <col min="28" max="28" width="10.42578125" style="77" customWidth="1"/>
    <col min="29" max="29" width="12.85546875" style="77" customWidth="1"/>
    <col min="30" max="31" width="10.140625" style="77" customWidth="1"/>
    <col min="32" max="33" width="9.140625" style="77"/>
    <col min="34" max="34" width="9.140625" style="77" customWidth="1"/>
    <col min="35" max="35" width="4.7109375" style="77" customWidth="1"/>
    <col min="36" max="40" width="14.7109375" style="926" customWidth="1"/>
    <col min="41" max="42" width="9.140625" style="926" customWidth="1"/>
    <col min="43" max="118" width="9.140625" style="77"/>
    <col min="119" max="119" width="9.140625" style="128"/>
    <col min="120" max="256" width="9.140625" style="77"/>
    <col min="257" max="257" width="13.7109375" style="77" customWidth="1"/>
    <col min="258" max="258" width="9.85546875" style="77" customWidth="1"/>
    <col min="259" max="259" width="12.28515625" style="77" customWidth="1"/>
    <col min="260" max="260" width="10.5703125" style="77" customWidth="1"/>
    <col min="261" max="261" width="9.7109375" style="77" customWidth="1"/>
    <col min="262" max="262" width="9.42578125" style="77" customWidth="1"/>
    <col min="263" max="263" width="9.140625" style="77"/>
    <col min="264" max="264" width="8.5703125" style="77" customWidth="1"/>
    <col min="265" max="265" width="10.7109375" style="77" customWidth="1"/>
    <col min="266" max="282" width="0" style="77" hidden="1" customWidth="1"/>
    <col min="283" max="283" width="9.140625" style="77" customWidth="1"/>
    <col min="284" max="284" width="9.140625" style="77"/>
    <col min="285" max="285" width="12.85546875" style="77" customWidth="1"/>
    <col min="286" max="287" width="10.140625" style="77" customWidth="1"/>
    <col min="288" max="289" width="9.140625" style="77"/>
    <col min="290" max="290" width="9.140625" style="77" customWidth="1"/>
    <col min="291" max="291" width="4.7109375" style="77" customWidth="1"/>
    <col min="292" max="296" width="14.7109375" style="77" customWidth="1"/>
    <col min="297" max="298" width="9.140625" style="77" customWidth="1"/>
    <col min="299" max="512" width="9.140625" style="77"/>
    <col min="513" max="513" width="13.7109375" style="77" customWidth="1"/>
    <col min="514" max="514" width="9.85546875" style="77" customWidth="1"/>
    <col min="515" max="515" width="12.28515625" style="77" customWidth="1"/>
    <col min="516" max="516" width="10.5703125" style="77" customWidth="1"/>
    <col min="517" max="517" width="9.7109375" style="77" customWidth="1"/>
    <col min="518" max="518" width="9.42578125" style="77" customWidth="1"/>
    <col min="519" max="519" width="9.140625" style="77"/>
    <col min="520" max="520" width="8.5703125" style="77" customWidth="1"/>
    <col min="521" max="521" width="10.7109375" style="77" customWidth="1"/>
    <col min="522" max="538" width="0" style="77" hidden="1" customWidth="1"/>
    <col min="539" max="539" width="9.140625" style="77" customWidth="1"/>
    <col min="540" max="540" width="9.140625" style="77"/>
    <col min="541" max="541" width="12.85546875" style="77" customWidth="1"/>
    <col min="542" max="543" width="10.140625" style="77" customWidth="1"/>
    <col min="544" max="545" width="9.140625" style="77"/>
    <col min="546" max="546" width="9.140625" style="77" customWidth="1"/>
    <col min="547" max="547" width="4.7109375" style="77" customWidth="1"/>
    <col min="548" max="552" width="14.7109375" style="77" customWidth="1"/>
    <col min="553" max="554" width="9.140625" style="77" customWidth="1"/>
    <col min="555" max="768" width="9.140625" style="77"/>
    <col min="769" max="769" width="13.7109375" style="77" customWidth="1"/>
    <col min="770" max="770" width="9.85546875" style="77" customWidth="1"/>
    <col min="771" max="771" width="12.28515625" style="77" customWidth="1"/>
    <col min="772" max="772" width="10.5703125" style="77" customWidth="1"/>
    <col min="773" max="773" width="9.7109375" style="77" customWidth="1"/>
    <col min="774" max="774" width="9.42578125" style="77" customWidth="1"/>
    <col min="775" max="775" width="9.140625" style="77"/>
    <col min="776" max="776" width="8.5703125" style="77" customWidth="1"/>
    <col min="777" max="777" width="10.7109375" style="77" customWidth="1"/>
    <col min="778" max="794" width="0" style="77" hidden="1" customWidth="1"/>
    <col min="795" max="795" width="9.140625" style="77" customWidth="1"/>
    <col min="796" max="796" width="9.140625" style="77"/>
    <col min="797" max="797" width="12.85546875" style="77" customWidth="1"/>
    <col min="798" max="799" width="10.140625" style="77" customWidth="1"/>
    <col min="800" max="801" width="9.140625" style="77"/>
    <col min="802" max="802" width="9.140625" style="77" customWidth="1"/>
    <col min="803" max="803" width="4.7109375" style="77" customWidth="1"/>
    <col min="804" max="808" width="14.7109375" style="77" customWidth="1"/>
    <col min="809" max="810" width="9.140625" style="77" customWidth="1"/>
    <col min="811" max="1024" width="9.140625" style="77"/>
    <col min="1025" max="1025" width="13.7109375" style="77" customWidth="1"/>
    <col min="1026" max="1026" width="9.85546875" style="77" customWidth="1"/>
    <col min="1027" max="1027" width="12.28515625" style="77" customWidth="1"/>
    <col min="1028" max="1028" width="10.5703125" style="77" customWidth="1"/>
    <col min="1029" max="1029" width="9.7109375" style="77" customWidth="1"/>
    <col min="1030" max="1030" width="9.42578125" style="77" customWidth="1"/>
    <col min="1031" max="1031" width="9.140625" style="77"/>
    <col min="1032" max="1032" width="8.5703125" style="77" customWidth="1"/>
    <col min="1033" max="1033" width="10.7109375" style="77" customWidth="1"/>
    <col min="1034" max="1050" width="0" style="77" hidden="1" customWidth="1"/>
    <col min="1051" max="1051" width="9.140625" style="77" customWidth="1"/>
    <col min="1052" max="1052" width="9.140625" style="77"/>
    <col min="1053" max="1053" width="12.85546875" style="77" customWidth="1"/>
    <col min="1054" max="1055" width="10.140625" style="77" customWidth="1"/>
    <col min="1056" max="1057" width="9.140625" style="77"/>
    <col min="1058" max="1058" width="9.140625" style="77" customWidth="1"/>
    <col min="1059" max="1059" width="4.7109375" style="77" customWidth="1"/>
    <col min="1060" max="1064" width="14.7109375" style="77" customWidth="1"/>
    <col min="1065" max="1066" width="9.140625" style="77" customWidth="1"/>
    <col min="1067" max="1280" width="9.140625" style="77"/>
    <col min="1281" max="1281" width="13.7109375" style="77" customWidth="1"/>
    <col min="1282" max="1282" width="9.85546875" style="77" customWidth="1"/>
    <col min="1283" max="1283" width="12.28515625" style="77" customWidth="1"/>
    <col min="1284" max="1284" width="10.5703125" style="77" customWidth="1"/>
    <col min="1285" max="1285" width="9.7109375" style="77" customWidth="1"/>
    <col min="1286" max="1286" width="9.42578125" style="77" customWidth="1"/>
    <col min="1287" max="1287" width="9.140625" style="77"/>
    <col min="1288" max="1288" width="8.5703125" style="77" customWidth="1"/>
    <col min="1289" max="1289" width="10.7109375" style="77" customWidth="1"/>
    <col min="1290" max="1306" width="0" style="77" hidden="1" customWidth="1"/>
    <col min="1307" max="1307" width="9.140625" style="77" customWidth="1"/>
    <col min="1308" max="1308" width="9.140625" style="77"/>
    <col min="1309" max="1309" width="12.85546875" style="77" customWidth="1"/>
    <col min="1310" max="1311" width="10.140625" style="77" customWidth="1"/>
    <col min="1312" max="1313" width="9.140625" style="77"/>
    <col min="1314" max="1314" width="9.140625" style="77" customWidth="1"/>
    <col min="1315" max="1315" width="4.7109375" style="77" customWidth="1"/>
    <col min="1316" max="1320" width="14.7109375" style="77" customWidth="1"/>
    <col min="1321" max="1322" width="9.140625" style="77" customWidth="1"/>
    <col min="1323" max="1536" width="9.140625" style="77"/>
    <col min="1537" max="1537" width="13.7109375" style="77" customWidth="1"/>
    <col min="1538" max="1538" width="9.85546875" style="77" customWidth="1"/>
    <col min="1539" max="1539" width="12.28515625" style="77" customWidth="1"/>
    <col min="1540" max="1540" width="10.5703125" style="77" customWidth="1"/>
    <col min="1541" max="1541" width="9.7109375" style="77" customWidth="1"/>
    <col min="1542" max="1542" width="9.42578125" style="77" customWidth="1"/>
    <col min="1543" max="1543" width="9.140625" style="77"/>
    <col min="1544" max="1544" width="8.5703125" style="77" customWidth="1"/>
    <col min="1545" max="1545" width="10.7109375" style="77" customWidth="1"/>
    <col min="1546" max="1562" width="0" style="77" hidden="1" customWidth="1"/>
    <col min="1563" max="1563" width="9.140625" style="77" customWidth="1"/>
    <col min="1564" max="1564" width="9.140625" style="77"/>
    <col min="1565" max="1565" width="12.85546875" style="77" customWidth="1"/>
    <col min="1566" max="1567" width="10.140625" style="77" customWidth="1"/>
    <col min="1568" max="1569" width="9.140625" style="77"/>
    <col min="1570" max="1570" width="9.140625" style="77" customWidth="1"/>
    <col min="1571" max="1571" width="4.7109375" style="77" customWidth="1"/>
    <col min="1572" max="1576" width="14.7109375" style="77" customWidth="1"/>
    <col min="1577" max="1578" width="9.140625" style="77" customWidth="1"/>
    <col min="1579" max="1792" width="9.140625" style="77"/>
    <col min="1793" max="1793" width="13.7109375" style="77" customWidth="1"/>
    <col min="1794" max="1794" width="9.85546875" style="77" customWidth="1"/>
    <col min="1795" max="1795" width="12.28515625" style="77" customWidth="1"/>
    <col min="1796" max="1796" width="10.5703125" style="77" customWidth="1"/>
    <col min="1797" max="1797" width="9.7109375" style="77" customWidth="1"/>
    <col min="1798" max="1798" width="9.42578125" style="77" customWidth="1"/>
    <col min="1799" max="1799" width="9.140625" style="77"/>
    <col min="1800" max="1800" width="8.5703125" style="77" customWidth="1"/>
    <col min="1801" max="1801" width="10.7109375" style="77" customWidth="1"/>
    <col min="1802" max="1818" width="0" style="77" hidden="1" customWidth="1"/>
    <col min="1819" max="1819" width="9.140625" style="77" customWidth="1"/>
    <col min="1820" max="1820" width="9.140625" style="77"/>
    <col min="1821" max="1821" width="12.85546875" style="77" customWidth="1"/>
    <col min="1822" max="1823" width="10.140625" style="77" customWidth="1"/>
    <col min="1824" max="1825" width="9.140625" style="77"/>
    <col min="1826" max="1826" width="9.140625" style="77" customWidth="1"/>
    <col min="1827" max="1827" width="4.7109375" style="77" customWidth="1"/>
    <col min="1828" max="1832" width="14.7109375" style="77" customWidth="1"/>
    <col min="1833" max="1834" width="9.140625" style="77" customWidth="1"/>
    <col min="1835" max="2048" width="9.140625" style="77"/>
    <col min="2049" max="2049" width="13.7109375" style="77" customWidth="1"/>
    <col min="2050" max="2050" width="9.85546875" style="77" customWidth="1"/>
    <col min="2051" max="2051" width="12.28515625" style="77" customWidth="1"/>
    <col min="2052" max="2052" width="10.5703125" style="77" customWidth="1"/>
    <col min="2053" max="2053" width="9.7109375" style="77" customWidth="1"/>
    <col min="2054" max="2054" width="9.42578125" style="77" customWidth="1"/>
    <col min="2055" max="2055" width="9.140625" style="77"/>
    <col min="2056" max="2056" width="8.5703125" style="77" customWidth="1"/>
    <col min="2057" max="2057" width="10.7109375" style="77" customWidth="1"/>
    <col min="2058" max="2074" width="0" style="77" hidden="1" customWidth="1"/>
    <col min="2075" max="2075" width="9.140625" style="77" customWidth="1"/>
    <col min="2076" max="2076" width="9.140625" style="77"/>
    <col min="2077" max="2077" width="12.85546875" style="77" customWidth="1"/>
    <col min="2078" max="2079" width="10.140625" style="77" customWidth="1"/>
    <col min="2080" max="2081" width="9.140625" style="77"/>
    <col min="2082" max="2082" width="9.140625" style="77" customWidth="1"/>
    <col min="2083" max="2083" width="4.7109375" style="77" customWidth="1"/>
    <col min="2084" max="2088" width="14.7109375" style="77" customWidth="1"/>
    <col min="2089" max="2090" width="9.140625" style="77" customWidth="1"/>
    <col min="2091" max="2304" width="9.140625" style="77"/>
    <col min="2305" max="2305" width="13.7109375" style="77" customWidth="1"/>
    <col min="2306" max="2306" width="9.85546875" style="77" customWidth="1"/>
    <col min="2307" max="2307" width="12.28515625" style="77" customWidth="1"/>
    <col min="2308" max="2308" width="10.5703125" style="77" customWidth="1"/>
    <col min="2309" max="2309" width="9.7109375" style="77" customWidth="1"/>
    <col min="2310" max="2310" width="9.42578125" style="77" customWidth="1"/>
    <col min="2311" max="2311" width="9.140625" style="77"/>
    <col min="2312" max="2312" width="8.5703125" style="77" customWidth="1"/>
    <col min="2313" max="2313" width="10.7109375" style="77" customWidth="1"/>
    <col min="2314" max="2330" width="0" style="77" hidden="1" customWidth="1"/>
    <col min="2331" max="2331" width="9.140625" style="77" customWidth="1"/>
    <col min="2332" max="2332" width="9.140625" style="77"/>
    <col min="2333" max="2333" width="12.85546875" style="77" customWidth="1"/>
    <col min="2334" max="2335" width="10.140625" style="77" customWidth="1"/>
    <col min="2336" max="2337" width="9.140625" style="77"/>
    <col min="2338" max="2338" width="9.140625" style="77" customWidth="1"/>
    <col min="2339" max="2339" width="4.7109375" style="77" customWidth="1"/>
    <col min="2340" max="2344" width="14.7109375" style="77" customWidth="1"/>
    <col min="2345" max="2346" width="9.140625" style="77" customWidth="1"/>
    <col min="2347" max="2560" width="9.140625" style="77"/>
    <col min="2561" max="2561" width="13.7109375" style="77" customWidth="1"/>
    <col min="2562" max="2562" width="9.85546875" style="77" customWidth="1"/>
    <col min="2563" max="2563" width="12.28515625" style="77" customWidth="1"/>
    <col min="2564" max="2564" width="10.5703125" style="77" customWidth="1"/>
    <col min="2565" max="2565" width="9.7109375" style="77" customWidth="1"/>
    <col min="2566" max="2566" width="9.42578125" style="77" customWidth="1"/>
    <col min="2567" max="2567" width="9.140625" style="77"/>
    <col min="2568" max="2568" width="8.5703125" style="77" customWidth="1"/>
    <col min="2569" max="2569" width="10.7109375" style="77" customWidth="1"/>
    <col min="2570" max="2586" width="0" style="77" hidden="1" customWidth="1"/>
    <col min="2587" max="2587" width="9.140625" style="77" customWidth="1"/>
    <col min="2588" max="2588" width="9.140625" style="77"/>
    <col min="2589" max="2589" width="12.85546875" style="77" customWidth="1"/>
    <col min="2590" max="2591" width="10.140625" style="77" customWidth="1"/>
    <col min="2592" max="2593" width="9.140625" style="77"/>
    <col min="2594" max="2594" width="9.140625" style="77" customWidth="1"/>
    <col min="2595" max="2595" width="4.7109375" style="77" customWidth="1"/>
    <col min="2596" max="2600" width="14.7109375" style="77" customWidth="1"/>
    <col min="2601" max="2602" width="9.140625" style="77" customWidth="1"/>
    <col min="2603" max="2816" width="9.140625" style="77"/>
    <col min="2817" max="2817" width="13.7109375" style="77" customWidth="1"/>
    <col min="2818" max="2818" width="9.85546875" style="77" customWidth="1"/>
    <col min="2819" max="2819" width="12.28515625" style="77" customWidth="1"/>
    <col min="2820" max="2820" width="10.5703125" style="77" customWidth="1"/>
    <col min="2821" max="2821" width="9.7109375" style="77" customWidth="1"/>
    <col min="2822" max="2822" width="9.42578125" style="77" customWidth="1"/>
    <col min="2823" max="2823" width="9.140625" style="77"/>
    <col min="2824" max="2824" width="8.5703125" style="77" customWidth="1"/>
    <col min="2825" max="2825" width="10.7109375" style="77" customWidth="1"/>
    <col min="2826" max="2842" width="0" style="77" hidden="1" customWidth="1"/>
    <col min="2843" max="2843" width="9.140625" style="77" customWidth="1"/>
    <col min="2844" max="2844" width="9.140625" style="77"/>
    <col min="2845" max="2845" width="12.85546875" style="77" customWidth="1"/>
    <col min="2846" max="2847" width="10.140625" style="77" customWidth="1"/>
    <col min="2848" max="2849" width="9.140625" style="77"/>
    <col min="2850" max="2850" width="9.140625" style="77" customWidth="1"/>
    <col min="2851" max="2851" width="4.7109375" style="77" customWidth="1"/>
    <col min="2852" max="2856" width="14.7109375" style="77" customWidth="1"/>
    <col min="2857" max="2858" width="9.140625" style="77" customWidth="1"/>
    <col min="2859" max="3072" width="9.140625" style="77"/>
    <col min="3073" max="3073" width="13.7109375" style="77" customWidth="1"/>
    <col min="3074" max="3074" width="9.85546875" style="77" customWidth="1"/>
    <col min="3075" max="3075" width="12.28515625" style="77" customWidth="1"/>
    <col min="3076" max="3076" width="10.5703125" style="77" customWidth="1"/>
    <col min="3077" max="3077" width="9.7109375" style="77" customWidth="1"/>
    <col min="3078" max="3078" width="9.42578125" style="77" customWidth="1"/>
    <col min="3079" max="3079" width="9.140625" style="77"/>
    <col min="3080" max="3080" width="8.5703125" style="77" customWidth="1"/>
    <col min="3081" max="3081" width="10.7109375" style="77" customWidth="1"/>
    <col min="3082" max="3098" width="0" style="77" hidden="1" customWidth="1"/>
    <col min="3099" max="3099" width="9.140625" style="77" customWidth="1"/>
    <col min="3100" max="3100" width="9.140625" style="77"/>
    <col min="3101" max="3101" width="12.85546875" style="77" customWidth="1"/>
    <col min="3102" max="3103" width="10.140625" style="77" customWidth="1"/>
    <col min="3104" max="3105" width="9.140625" style="77"/>
    <col min="3106" max="3106" width="9.140625" style="77" customWidth="1"/>
    <col min="3107" max="3107" width="4.7109375" style="77" customWidth="1"/>
    <col min="3108" max="3112" width="14.7109375" style="77" customWidth="1"/>
    <col min="3113" max="3114" width="9.140625" style="77" customWidth="1"/>
    <col min="3115" max="3328" width="9.140625" style="77"/>
    <col min="3329" max="3329" width="13.7109375" style="77" customWidth="1"/>
    <col min="3330" max="3330" width="9.85546875" style="77" customWidth="1"/>
    <col min="3331" max="3331" width="12.28515625" style="77" customWidth="1"/>
    <col min="3332" max="3332" width="10.5703125" style="77" customWidth="1"/>
    <col min="3333" max="3333" width="9.7109375" style="77" customWidth="1"/>
    <col min="3334" max="3334" width="9.42578125" style="77" customWidth="1"/>
    <col min="3335" max="3335" width="9.140625" style="77"/>
    <col min="3336" max="3336" width="8.5703125" style="77" customWidth="1"/>
    <col min="3337" max="3337" width="10.7109375" style="77" customWidth="1"/>
    <col min="3338" max="3354" width="0" style="77" hidden="1" customWidth="1"/>
    <col min="3355" max="3355" width="9.140625" style="77" customWidth="1"/>
    <col min="3356" max="3356" width="9.140625" style="77"/>
    <col min="3357" max="3357" width="12.85546875" style="77" customWidth="1"/>
    <col min="3358" max="3359" width="10.140625" style="77" customWidth="1"/>
    <col min="3360" max="3361" width="9.140625" style="77"/>
    <col min="3362" max="3362" width="9.140625" style="77" customWidth="1"/>
    <col min="3363" max="3363" width="4.7109375" style="77" customWidth="1"/>
    <col min="3364" max="3368" width="14.7109375" style="77" customWidth="1"/>
    <col min="3369" max="3370" width="9.140625" style="77" customWidth="1"/>
    <col min="3371" max="3584" width="9.140625" style="77"/>
    <col min="3585" max="3585" width="13.7109375" style="77" customWidth="1"/>
    <col min="3586" max="3586" width="9.85546875" style="77" customWidth="1"/>
    <col min="3587" max="3587" width="12.28515625" style="77" customWidth="1"/>
    <col min="3588" max="3588" width="10.5703125" style="77" customWidth="1"/>
    <col min="3589" max="3589" width="9.7109375" style="77" customWidth="1"/>
    <col min="3590" max="3590" width="9.42578125" style="77" customWidth="1"/>
    <col min="3591" max="3591" width="9.140625" style="77"/>
    <col min="3592" max="3592" width="8.5703125" style="77" customWidth="1"/>
    <col min="3593" max="3593" width="10.7109375" style="77" customWidth="1"/>
    <col min="3594" max="3610" width="0" style="77" hidden="1" customWidth="1"/>
    <col min="3611" max="3611" width="9.140625" style="77" customWidth="1"/>
    <col min="3612" max="3612" width="9.140625" style="77"/>
    <col min="3613" max="3613" width="12.85546875" style="77" customWidth="1"/>
    <col min="3614" max="3615" width="10.140625" style="77" customWidth="1"/>
    <col min="3616" max="3617" width="9.140625" style="77"/>
    <col min="3618" max="3618" width="9.140625" style="77" customWidth="1"/>
    <col min="3619" max="3619" width="4.7109375" style="77" customWidth="1"/>
    <col min="3620" max="3624" width="14.7109375" style="77" customWidth="1"/>
    <col min="3625" max="3626" width="9.140625" style="77" customWidth="1"/>
    <col min="3627" max="3840" width="9.140625" style="77"/>
    <col min="3841" max="3841" width="13.7109375" style="77" customWidth="1"/>
    <col min="3842" max="3842" width="9.85546875" style="77" customWidth="1"/>
    <col min="3843" max="3843" width="12.28515625" style="77" customWidth="1"/>
    <col min="3844" max="3844" width="10.5703125" style="77" customWidth="1"/>
    <col min="3845" max="3845" width="9.7109375" style="77" customWidth="1"/>
    <col min="3846" max="3846" width="9.42578125" style="77" customWidth="1"/>
    <col min="3847" max="3847" width="9.140625" style="77"/>
    <col min="3848" max="3848" width="8.5703125" style="77" customWidth="1"/>
    <col min="3849" max="3849" width="10.7109375" style="77" customWidth="1"/>
    <col min="3850" max="3866" width="0" style="77" hidden="1" customWidth="1"/>
    <col min="3867" max="3867" width="9.140625" style="77" customWidth="1"/>
    <col min="3868" max="3868" width="9.140625" style="77"/>
    <col min="3869" max="3869" width="12.85546875" style="77" customWidth="1"/>
    <col min="3870" max="3871" width="10.140625" style="77" customWidth="1"/>
    <col min="3872" max="3873" width="9.140625" style="77"/>
    <col min="3874" max="3874" width="9.140625" style="77" customWidth="1"/>
    <col min="3875" max="3875" width="4.7109375" style="77" customWidth="1"/>
    <col min="3876" max="3880" width="14.7109375" style="77" customWidth="1"/>
    <col min="3881" max="3882" width="9.140625" style="77" customWidth="1"/>
    <col min="3883" max="4096" width="9.140625" style="77"/>
    <col min="4097" max="4097" width="13.7109375" style="77" customWidth="1"/>
    <col min="4098" max="4098" width="9.85546875" style="77" customWidth="1"/>
    <col min="4099" max="4099" width="12.28515625" style="77" customWidth="1"/>
    <col min="4100" max="4100" width="10.5703125" style="77" customWidth="1"/>
    <col min="4101" max="4101" width="9.7109375" style="77" customWidth="1"/>
    <col min="4102" max="4102" width="9.42578125" style="77" customWidth="1"/>
    <col min="4103" max="4103" width="9.140625" style="77"/>
    <col min="4104" max="4104" width="8.5703125" style="77" customWidth="1"/>
    <col min="4105" max="4105" width="10.7109375" style="77" customWidth="1"/>
    <col min="4106" max="4122" width="0" style="77" hidden="1" customWidth="1"/>
    <col min="4123" max="4123" width="9.140625" style="77" customWidth="1"/>
    <col min="4124" max="4124" width="9.140625" style="77"/>
    <col min="4125" max="4125" width="12.85546875" style="77" customWidth="1"/>
    <col min="4126" max="4127" width="10.140625" style="77" customWidth="1"/>
    <col min="4128" max="4129" width="9.140625" style="77"/>
    <col min="4130" max="4130" width="9.140625" style="77" customWidth="1"/>
    <col min="4131" max="4131" width="4.7109375" style="77" customWidth="1"/>
    <col min="4132" max="4136" width="14.7109375" style="77" customWidth="1"/>
    <col min="4137" max="4138" width="9.140625" style="77" customWidth="1"/>
    <col min="4139" max="4352" width="9.140625" style="77"/>
    <col min="4353" max="4353" width="13.7109375" style="77" customWidth="1"/>
    <col min="4354" max="4354" width="9.85546875" style="77" customWidth="1"/>
    <col min="4355" max="4355" width="12.28515625" style="77" customWidth="1"/>
    <col min="4356" max="4356" width="10.5703125" style="77" customWidth="1"/>
    <col min="4357" max="4357" width="9.7109375" style="77" customWidth="1"/>
    <col min="4358" max="4358" width="9.42578125" style="77" customWidth="1"/>
    <col min="4359" max="4359" width="9.140625" style="77"/>
    <col min="4360" max="4360" width="8.5703125" style="77" customWidth="1"/>
    <col min="4361" max="4361" width="10.7109375" style="77" customWidth="1"/>
    <col min="4362" max="4378" width="0" style="77" hidden="1" customWidth="1"/>
    <col min="4379" max="4379" width="9.140625" style="77" customWidth="1"/>
    <col min="4380" max="4380" width="9.140625" style="77"/>
    <col min="4381" max="4381" width="12.85546875" style="77" customWidth="1"/>
    <col min="4382" max="4383" width="10.140625" style="77" customWidth="1"/>
    <col min="4384" max="4385" width="9.140625" style="77"/>
    <col min="4386" max="4386" width="9.140625" style="77" customWidth="1"/>
    <col min="4387" max="4387" width="4.7109375" style="77" customWidth="1"/>
    <col min="4388" max="4392" width="14.7109375" style="77" customWidth="1"/>
    <col min="4393" max="4394" width="9.140625" style="77" customWidth="1"/>
    <col min="4395" max="4608" width="9.140625" style="77"/>
    <col min="4609" max="4609" width="13.7109375" style="77" customWidth="1"/>
    <col min="4610" max="4610" width="9.85546875" style="77" customWidth="1"/>
    <col min="4611" max="4611" width="12.28515625" style="77" customWidth="1"/>
    <col min="4612" max="4612" width="10.5703125" style="77" customWidth="1"/>
    <col min="4613" max="4613" width="9.7109375" style="77" customWidth="1"/>
    <col min="4614" max="4614" width="9.42578125" style="77" customWidth="1"/>
    <col min="4615" max="4615" width="9.140625" style="77"/>
    <col min="4616" max="4616" width="8.5703125" style="77" customWidth="1"/>
    <col min="4617" max="4617" width="10.7109375" style="77" customWidth="1"/>
    <col min="4618" max="4634" width="0" style="77" hidden="1" customWidth="1"/>
    <col min="4635" max="4635" width="9.140625" style="77" customWidth="1"/>
    <col min="4636" max="4636" width="9.140625" style="77"/>
    <col min="4637" max="4637" width="12.85546875" style="77" customWidth="1"/>
    <col min="4638" max="4639" width="10.140625" style="77" customWidth="1"/>
    <col min="4640" max="4641" width="9.140625" style="77"/>
    <col min="4642" max="4642" width="9.140625" style="77" customWidth="1"/>
    <col min="4643" max="4643" width="4.7109375" style="77" customWidth="1"/>
    <col min="4644" max="4648" width="14.7109375" style="77" customWidth="1"/>
    <col min="4649" max="4650" width="9.140625" style="77" customWidth="1"/>
    <col min="4651" max="4864" width="9.140625" style="77"/>
    <col min="4865" max="4865" width="13.7109375" style="77" customWidth="1"/>
    <col min="4866" max="4866" width="9.85546875" style="77" customWidth="1"/>
    <col min="4867" max="4867" width="12.28515625" style="77" customWidth="1"/>
    <col min="4868" max="4868" width="10.5703125" style="77" customWidth="1"/>
    <col min="4869" max="4869" width="9.7109375" style="77" customWidth="1"/>
    <col min="4870" max="4870" width="9.42578125" style="77" customWidth="1"/>
    <col min="4871" max="4871" width="9.140625" style="77"/>
    <col min="4872" max="4872" width="8.5703125" style="77" customWidth="1"/>
    <col min="4873" max="4873" width="10.7109375" style="77" customWidth="1"/>
    <col min="4874" max="4890" width="0" style="77" hidden="1" customWidth="1"/>
    <col min="4891" max="4891" width="9.140625" style="77" customWidth="1"/>
    <col min="4892" max="4892" width="9.140625" style="77"/>
    <col min="4893" max="4893" width="12.85546875" style="77" customWidth="1"/>
    <col min="4894" max="4895" width="10.140625" style="77" customWidth="1"/>
    <col min="4896" max="4897" width="9.140625" style="77"/>
    <col min="4898" max="4898" width="9.140625" style="77" customWidth="1"/>
    <col min="4899" max="4899" width="4.7109375" style="77" customWidth="1"/>
    <col min="4900" max="4904" width="14.7109375" style="77" customWidth="1"/>
    <col min="4905" max="4906" width="9.140625" style="77" customWidth="1"/>
    <col min="4907" max="5120" width="9.140625" style="77"/>
    <col min="5121" max="5121" width="13.7109375" style="77" customWidth="1"/>
    <col min="5122" max="5122" width="9.85546875" style="77" customWidth="1"/>
    <col min="5123" max="5123" width="12.28515625" style="77" customWidth="1"/>
    <col min="5124" max="5124" width="10.5703125" style="77" customWidth="1"/>
    <col min="5125" max="5125" width="9.7109375" style="77" customWidth="1"/>
    <col min="5126" max="5126" width="9.42578125" style="77" customWidth="1"/>
    <col min="5127" max="5127" width="9.140625" style="77"/>
    <col min="5128" max="5128" width="8.5703125" style="77" customWidth="1"/>
    <col min="5129" max="5129" width="10.7109375" style="77" customWidth="1"/>
    <col min="5130" max="5146" width="0" style="77" hidden="1" customWidth="1"/>
    <col min="5147" max="5147" width="9.140625" style="77" customWidth="1"/>
    <col min="5148" max="5148" width="9.140625" style="77"/>
    <col min="5149" max="5149" width="12.85546875" style="77" customWidth="1"/>
    <col min="5150" max="5151" width="10.140625" style="77" customWidth="1"/>
    <col min="5152" max="5153" width="9.140625" style="77"/>
    <col min="5154" max="5154" width="9.140625" style="77" customWidth="1"/>
    <col min="5155" max="5155" width="4.7109375" style="77" customWidth="1"/>
    <col min="5156" max="5160" width="14.7109375" style="77" customWidth="1"/>
    <col min="5161" max="5162" width="9.140625" style="77" customWidth="1"/>
    <col min="5163" max="5376" width="9.140625" style="77"/>
    <col min="5377" max="5377" width="13.7109375" style="77" customWidth="1"/>
    <col min="5378" max="5378" width="9.85546875" style="77" customWidth="1"/>
    <col min="5379" max="5379" width="12.28515625" style="77" customWidth="1"/>
    <col min="5380" max="5380" width="10.5703125" style="77" customWidth="1"/>
    <col min="5381" max="5381" width="9.7109375" style="77" customWidth="1"/>
    <col min="5382" max="5382" width="9.42578125" style="77" customWidth="1"/>
    <col min="5383" max="5383" width="9.140625" style="77"/>
    <col min="5384" max="5384" width="8.5703125" style="77" customWidth="1"/>
    <col min="5385" max="5385" width="10.7109375" style="77" customWidth="1"/>
    <col min="5386" max="5402" width="0" style="77" hidden="1" customWidth="1"/>
    <col min="5403" max="5403" width="9.140625" style="77" customWidth="1"/>
    <col min="5404" max="5404" width="9.140625" style="77"/>
    <col min="5405" max="5405" width="12.85546875" style="77" customWidth="1"/>
    <col min="5406" max="5407" width="10.140625" style="77" customWidth="1"/>
    <col min="5408" max="5409" width="9.140625" style="77"/>
    <col min="5410" max="5410" width="9.140625" style="77" customWidth="1"/>
    <col min="5411" max="5411" width="4.7109375" style="77" customWidth="1"/>
    <col min="5412" max="5416" width="14.7109375" style="77" customWidth="1"/>
    <col min="5417" max="5418" width="9.140625" style="77" customWidth="1"/>
    <col min="5419" max="5632" width="9.140625" style="77"/>
    <col min="5633" max="5633" width="13.7109375" style="77" customWidth="1"/>
    <col min="5634" max="5634" width="9.85546875" style="77" customWidth="1"/>
    <col min="5635" max="5635" width="12.28515625" style="77" customWidth="1"/>
    <col min="5636" max="5636" width="10.5703125" style="77" customWidth="1"/>
    <col min="5637" max="5637" width="9.7109375" style="77" customWidth="1"/>
    <col min="5638" max="5638" width="9.42578125" style="77" customWidth="1"/>
    <col min="5639" max="5639" width="9.140625" style="77"/>
    <col min="5640" max="5640" width="8.5703125" style="77" customWidth="1"/>
    <col min="5641" max="5641" width="10.7109375" style="77" customWidth="1"/>
    <col min="5642" max="5658" width="0" style="77" hidden="1" customWidth="1"/>
    <col min="5659" max="5659" width="9.140625" style="77" customWidth="1"/>
    <col min="5660" max="5660" width="9.140625" style="77"/>
    <col min="5661" max="5661" width="12.85546875" style="77" customWidth="1"/>
    <col min="5662" max="5663" width="10.140625" style="77" customWidth="1"/>
    <col min="5664" max="5665" width="9.140625" style="77"/>
    <col min="5666" max="5666" width="9.140625" style="77" customWidth="1"/>
    <col min="5667" max="5667" width="4.7109375" style="77" customWidth="1"/>
    <col min="5668" max="5672" width="14.7109375" style="77" customWidth="1"/>
    <col min="5673" max="5674" width="9.140625" style="77" customWidth="1"/>
    <col min="5675" max="5888" width="9.140625" style="77"/>
    <col min="5889" max="5889" width="13.7109375" style="77" customWidth="1"/>
    <col min="5890" max="5890" width="9.85546875" style="77" customWidth="1"/>
    <col min="5891" max="5891" width="12.28515625" style="77" customWidth="1"/>
    <col min="5892" max="5892" width="10.5703125" style="77" customWidth="1"/>
    <col min="5893" max="5893" width="9.7109375" style="77" customWidth="1"/>
    <col min="5894" max="5894" width="9.42578125" style="77" customWidth="1"/>
    <col min="5895" max="5895" width="9.140625" style="77"/>
    <col min="5896" max="5896" width="8.5703125" style="77" customWidth="1"/>
    <col min="5897" max="5897" width="10.7109375" style="77" customWidth="1"/>
    <col min="5898" max="5914" width="0" style="77" hidden="1" customWidth="1"/>
    <col min="5915" max="5915" width="9.140625" style="77" customWidth="1"/>
    <col min="5916" max="5916" width="9.140625" style="77"/>
    <col min="5917" max="5917" width="12.85546875" style="77" customWidth="1"/>
    <col min="5918" max="5919" width="10.140625" style="77" customWidth="1"/>
    <col min="5920" max="5921" width="9.140625" style="77"/>
    <col min="5922" max="5922" width="9.140625" style="77" customWidth="1"/>
    <col min="5923" max="5923" width="4.7109375" style="77" customWidth="1"/>
    <col min="5924" max="5928" width="14.7109375" style="77" customWidth="1"/>
    <col min="5929" max="5930" width="9.140625" style="77" customWidth="1"/>
    <col min="5931" max="6144" width="9.140625" style="77"/>
    <col min="6145" max="6145" width="13.7109375" style="77" customWidth="1"/>
    <col min="6146" max="6146" width="9.85546875" style="77" customWidth="1"/>
    <col min="6147" max="6147" width="12.28515625" style="77" customWidth="1"/>
    <col min="6148" max="6148" width="10.5703125" style="77" customWidth="1"/>
    <col min="6149" max="6149" width="9.7109375" style="77" customWidth="1"/>
    <col min="6150" max="6150" width="9.42578125" style="77" customWidth="1"/>
    <col min="6151" max="6151" width="9.140625" style="77"/>
    <col min="6152" max="6152" width="8.5703125" style="77" customWidth="1"/>
    <col min="6153" max="6153" width="10.7109375" style="77" customWidth="1"/>
    <col min="6154" max="6170" width="0" style="77" hidden="1" customWidth="1"/>
    <col min="6171" max="6171" width="9.140625" style="77" customWidth="1"/>
    <col min="6172" max="6172" width="9.140625" style="77"/>
    <col min="6173" max="6173" width="12.85546875" style="77" customWidth="1"/>
    <col min="6174" max="6175" width="10.140625" style="77" customWidth="1"/>
    <col min="6176" max="6177" width="9.140625" style="77"/>
    <col min="6178" max="6178" width="9.140625" style="77" customWidth="1"/>
    <col min="6179" max="6179" width="4.7109375" style="77" customWidth="1"/>
    <col min="6180" max="6184" width="14.7109375" style="77" customWidth="1"/>
    <col min="6185" max="6186" width="9.140625" style="77" customWidth="1"/>
    <col min="6187" max="6400" width="9.140625" style="77"/>
    <col min="6401" max="6401" width="13.7109375" style="77" customWidth="1"/>
    <col min="6402" max="6402" width="9.85546875" style="77" customWidth="1"/>
    <col min="6403" max="6403" width="12.28515625" style="77" customWidth="1"/>
    <col min="6404" max="6404" width="10.5703125" style="77" customWidth="1"/>
    <col min="6405" max="6405" width="9.7109375" style="77" customWidth="1"/>
    <col min="6406" max="6406" width="9.42578125" style="77" customWidth="1"/>
    <col min="6407" max="6407" width="9.140625" style="77"/>
    <col min="6408" max="6408" width="8.5703125" style="77" customWidth="1"/>
    <col min="6409" max="6409" width="10.7109375" style="77" customWidth="1"/>
    <col min="6410" max="6426" width="0" style="77" hidden="1" customWidth="1"/>
    <col min="6427" max="6427" width="9.140625" style="77" customWidth="1"/>
    <col min="6428" max="6428" width="9.140625" style="77"/>
    <col min="6429" max="6429" width="12.85546875" style="77" customWidth="1"/>
    <col min="6430" max="6431" width="10.140625" style="77" customWidth="1"/>
    <col min="6432" max="6433" width="9.140625" style="77"/>
    <col min="6434" max="6434" width="9.140625" style="77" customWidth="1"/>
    <col min="6435" max="6435" width="4.7109375" style="77" customWidth="1"/>
    <col min="6436" max="6440" width="14.7109375" style="77" customWidth="1"/>
    <col min="6441" max="6442" width="9.140625" style="77" customWidth="1"/>
    <col min="6443" max="6656" width="9.140625" style="77"/>
    <col min="6657" max="6657" width="13.7109375" style="77" customWidth="1"/>
    <col min="6658" max="6658" width="9.85546875" style="77" customWidth="1"/>
    <col min="6659" max="6659" width="12.28515625" style="77" customWidth="1"/>
    <col min="6660" max="6660" width="10.5703125" style="77" customWidth="1"/>
    <col min="6661" max="6661" width="9.7109375" style="77" customWidth="1"/>
    <col min="6662" max="6662" width="9.42578125" style="77" customWidth="1"/>
    <col min="6663" max="6663" width="9.140625" style="77"/>
    <col min="6664" max="6664" width="8.5703125" style="77" customWidth="1"/>
    <col min="6665" max="6665" width="10.7109375" style="77" customWidth="1"/>
    <col min="6666" max="6682" width="0" style="77" hidden="1" customWidth="1"/>
    <col min="6683" max="6683" width="9.140625" style="77" customWidth="1"/>
    <col min="6684" max="6684" width="9.140625" style="77"/>
    <col min="6685" max="6685" width="12.85546875" style="77" customWidth="1"/>
    <col min="6686" max="6687" width="10.140625" style="77" customWidth="1"/>
    <col min="6688" max="6689" width="9.140625" style="77"/>
    <col min="6690" max="6690" width="9.140625" style="77" customWidth="1"/>
    <col min="6691" max="6691" width="4.7109375" style="77" customWidth="1"/>
    <col min="6692" max="6696" width="14.7109375" style="77" customWidth="1"/>
    <col min="6697" max="6698" width="9.140625" style="77" customWidth="1"/>
    <col min="6699" max="6912" width="9.140625" style="77"/>
    <col min="6913" max="6913" width="13.7109375" style="77" customWidth="1"/>
    <col min="6914" max="6914" width="9.85546875" style="77" customWidth="1"/>
    <col min="6915" max="6915" width="12.28515625" style="77" customWidth="1"/>
    <col min="6916" max="6916" width="10.5703125" style="77" customWidth="1"/>
    <col min="6917" max="6917" width="9.7109375" style="77" customWidth="1"/>
    <col min="6918" max="6918" width="9.42578125" style="77" customWidth="1"/>
    <col min="6919" max="6919" width="9.140625" style="77"/>
    <col min="6920" max="6920" width="8.5703125" style="77" customWidth="1"/>
    <col min="6921" max="6921" width="10.7109375" style="77" customWidth="1"/>
    <col min="6922" max="6938" width="0" style="77" hidden="1" customWidth="1"/>
    <col min="6939" max="6939" width="9.140625" style="77" customWidth="1"/>
    <col min="6940" max="6940" width="9.140625" style="77"/>
    <col min="6941" max="6941" width="12.85546875" style="77" customWidth="1"/>
    <col min="6942" max="6943" width="10.140625" style="77" customWidth="1"/>
    <col min="6944" max="6945" width="9.140625" style="77"/>
    <col min="6946" max="6946" width="9.140625" style="77" customWidth="1"/>
    <col min="6947" max="6947" width="4.7109375" style="77" customWidth="1"/>
    <col min="6948" max="6952" width="14.7109375" style="77" customWidth="1"/>
    <col min="6953" max="6954" width="9.140625" style="77" customWidth="1"/>
    <col min="6955" max="7168" width="9.140625" style="77"/>
    <col min="7169" max="7169" width="13.7109375" style="77" customWidth="1"/>
    <col min="7170" max="7170" width="9.85546875" style="77" customWidth="1"/>
    <col min="7171" max="7171" width="12.28515625" style="77" customWidth="1"/>
    <col min="7172" max="7172" width="10.5703125" style="77" customWidth="1"/>
    <col min="7173" max="7173" width="9.7109375" style="77" customWidth="1"/>
    <col min="7174" max="7174" width="9.42578125" style="77" customWidth="1"/>
    <col min="7175" max="7175" width="9.140625" style="77"/>
    <col min="7176" max="7176" width="8.5703125" style="77" customWidth="1"/>
    <col min="7177" max="7177" width="10.7109375" style="77" customWidth="1"/>
    <col min="7178" max="7194" width="0" style="77" hidden="1" customWidth="1"/>
    <col min="7195" max="7195" width="9.140625" style="77" customWidth="1"/>
    <col min="7196" max="7196" width="9.140625" style="77"/>
    <col min="7197" max="7197" width="12.85546875" style="77" customWidth="1"/>
    <col min="7198" max="7199" width="10.140625" style="77" customWidth="1"/>
    <col min="7200" max="7201" width="9.140625" style="77"/>
    <col min="7202" max="7202" width="9.140625" style="77" customWidth="1"/>
    <col min="7203" max="7203" width="4.7109375" style="77" customWidth="1"/>
    <col min="7204" max="7208" width="14.7109375" style="77" customWidth="1"/>
    <col min="7209" max="7210" width="9.140625" style="77" customWidth="1"/>
    <col min="7211" max="7424" width="9.140625" style="77"/>
    <col min="7425" max="7425" width="13.7109375" style="77" customWidth="1"/>
    <col min="7426" max="7426" width="9.85546875" style="77" customWidth="1"/>
    <col min="7427" max="7427" width="12.28515625" style="77" customWidth="1"/>
    <col min="7428" max="7428" width="10.5703125" style="77" customWidth="1"/>
    <col min="7429" max="7429" width="9.7109375" style="77" customWidth="1"/>
    <col min="7430" max="7430" width="9.42578125" style="77" customWidth="1"/>
    <col min="7431" max="7431" width="9.140625" style="77"/>
    <col min="7432" max="7432" width="8.5703125" style="77" customWidth="1"/>
    <col min="7433" max="7433" width="10.7109375" style="77" customWidth="1"/>
    <col min="7434" max="7450" width="0" style="77" hidden="1" customWidth="1"/>
    <col min="7451" max="7451" width="9.140625" style="77" customWidth="1"/>
    <col min="7452" max="7452" width="9.140625" style="77"/>
    <col min="7453" max="7453" width="12.85546875" style="77" customWidth="1"/>
    <col min="7454" max="7455" width="10.140625" style="77" customWidth="1"/>
    <col min="7456" max="7457" width="9.140625" style="77"/>
    <col min="7458" max="7458" width="9.140625" style="77" customWidth="1"/>
    <col min="7459" max="7459" width="4.7109375" style="77" customWidth="1"/>
    <col min="7460" max="7464" width="14.7109375" style="77" customWidth="1"/>
    <col min="7465" max="7466" width="9.140625" style="77" customWidth="1"/>
    <col min="7467" max="7680" width="9.140625" style="77"/>
    <col min="7681" max="7681" width="13.7109375" style="77" customWidth="1"/>
    <col min="7682" max="7682" width="9.85546875" style="77" customWidth="1"/>
    <col min="7683" max="7683" width="12.28515625" style="77" customWidth="1"/>
    <col min="7684" max="7684" width="10.5703125" style="77" customWidth="1"/>
    <col min="7685" max="7685" width="9.7109375" style="77" customWidth="1"/>
    <col min="7686" max="7686" width="9.42578125" style="77" customWidth="1"/>
    <col min="7687" max="7687" width="9.140625" style="77"/>
    <col min="7688" max="7688" width="8.5703125" style="77" customWidth="1"/>
    <col min="7689" max="7689" width="10.7109375" style="77" customWidth="1"/>
    <col min="7690" max="7706" width="0" style="77" hidden="1" customWidth="1"/>
    <col min="7707" max="7707" width="9.140625" style="77" customWidth="1"/>
    <col min="7708" max="7708" width="9.140625" style="77"/>
    <col min="7709" max="7709" width="12.85546875" style="77" customWidth="1"/>
    <col min="7710" max="7711" width="10.140625" style="77" customWidth="1"/>
    <col min="7712" max="7713" width="9.140625" style="77"/>
    <col min="7714" max="7714" width="9.140625" style="77" customWidth="1"/>
    <col min="7715" max="7715" width="4.7109375" style="77" customWidth="1"/>
    <col min="7716" max="7720" width="14.7109375" style="77" customWidth="1"/>
    <col min="7721" max="7722" width="9.140625" style="77" customWidth="1"/>
    <col min="7723" max="7936" width="9.140625" style="77"/>
    <col min="7937" max="7937" width="13.7109375" style="77" customWidth="1"/>
    <col min="7938" max="7938" width="9.85546875" style="77" customWidth="1"/>
    <col min="7939" max="7939" width="12.28515625" style="77" customWidth="1"/>
    <col min="7940" max="7940" width="10.5703125" style="77" customWidth="1"/>
    <col min="7941" max="7941" width="9.7109375" style="77" customWidth="1"/>
    <col min="7942" max="7942" width="9.42578125" style="77" customWidth="1"/>
    <col min="7943" max="7943" width="9.140625" style="77"/>
    <col min="7944" max="7944" width="8.5703125" style="77" customWidth="1"/>
    <col min="7945" max="7945" width="10.7109375" style="77" customWidth="1"/>
    <col min="7946" max="7962" width="0" style="77" hidden="1" customWidth="1"/>
    <col min="7963" max="7963" width="9.140625" style="77" customWidth="1"/>
    <col min="7964" max="7964" width="9.140625" style="77"/>
    <col min="7965" max="7965" width="12.85546875" style="77" customWidth="1"/>
    <col min="7966" max="7967" width="10.140625" style="77" customWidth="1"/>
    <col min="7968" max="7969" width="9.140625" style="77"/>
    <col min="7970" max="7970" width="9.140625" style="77" customWidth="1"/>
    <col min="7971" max="7971" width="4.7109375" style="77" customWidth="1"/>
    <col min="7972" max="7976" width="14.7109375" style="77" customWidth="1"/>
    <col min="7977" max="7978" width="9.140625" style="77" customWidth="1"/>
    <col min="7979" max="8192" width="9.140625" style="77"/>
    <col min="8193" max="8193" width="13.7109375" style="77" customWidth="1"/>
    <col min="8194" max="8194" width="9.85546875" style="77" customWidth="1"/>
    <col min="8195" max="8195" width="12.28515625" style="77" customWidth="1"/>
    <col min="8196" max="8196" width="10.5703125" style="77" customWidth="1"/>
    <col min="8197" max="8197" width="9.7109375" style="77" customWidth="1"/>
    <col min="8198" max="8198" width="9.42578125" style="77" customWidth="1"/>
    <col min="8199" max="8199" width="9.140625" style="77"/>
    <col min="8200" max="8200" width="8.5703125" style="77" customWidth="1"/>
    <col min="8201" max="8201" width="10.7109375" style="77" customWidth="1"/>
    <col min="8202" max="8218" width="0" style="77" hidden="1" customWidth="1"/>
    <col min="8219" max="8219" width="9.140625" style="77" customWidth="1"/>
    <col min="8220" max="8220" width="9.140625" style="77"/>
    <col min="8221" max="8221" width="12.85546875" style="77" customWidth="1"/>
    <col min="8222" max="8223" width="10.140625" style="77" customWidth="1"/>
    <col min="8224" max="8225" width="9.140625" style="77"/>
    <col min="8226" max="8226" width="9.140625" style="77" customWidth="1"/>
    <col min="8227" max="8227" width="4.7109375" style="77" customWidth="1"/>
    <col min="8228" max="8232" width="14.7109375" style="77" customWidth="1"/>
    <col min="8233" max="8234" width="9.140625" style="77" customWidth="1"/>
    <col min="8235" max="8448" width="9.140625" style="77"/>
    <col min="8449" max="8449" width="13.7109375" style="77" customWidth="1"/>
    <col min="8450" max="8450" width="9.85546875" style="77" customWidth="1"/>
    <col min="8451" max="8451" width="12.28515625" style="77" customWidth="1"/>
    <col min="8452" max="8452" width="10.5703125" style="77" customWidth="1"/>
    <col min="8453" max="8453" width="9.7109375" style="77" customWidth="1"/>
    <col min="8454" max="8454" width="9.42578125" style="77" customWidth="1"/>
    <col min="8455" max="8455" width="9.140625" style="77"/>
    <col min="8456" max="8456" width="8.5703125" style="77" customWidth="1"/>
    <col min="8457" max="8457" width="10.7109375" style="77" customWidth="1"/>
    <col min="8458" max="8474" width="0" style="77" hidden="1" customWidth="1"/>
    <col min="8475" max="8475" width="9.140625" style="77" customWidth="1"/>
    <col min="8476" max="8476" width="9.140625" style="77"/>
    <col min="8477" max="8477" width="12.85546875" style="77" customWidth="1"/>
    <col min="8478" max="8479" width="10.140625" style="77" customWidth="1"/>
    <col min="8480" max="8481" width="9.140625" style="77"/>
    <col min="8482" max="8482" width="9.140625" style="77" customWidth="1"/>
    <col min="8483" max="8483" width="4.7109375" style="77" customWidth="1"/>
    <col min="8484" max="8488" width="14.7109375" style="77" customWidth="1"/>
    <col min="8489" max="8490" width="9.140625" style="77" customWidth="1"/>
    <col min="8491" max="8704" width="9.140625" style="77"/>
    <col min="8705" max="8705" width="13.7109375" style="77" customWidth="1"/>
    <col min="8706" max="8706" width="9.85546875" style="77" customWidth="1"/>
    <col min="8707" max="8707" width="12.28515625" style="77" customWidth="1"/>
    <col min="8708" max="8708" width="10.5703125" style="77" customWidth="1"/>
    <col min="8709" max="8709" width="9.7109375" style="77" customWidth="1"/>
    <col min="8710" max="8710" width="9.42578125" style="77" customWidth="1"/>
    <col min="8711" max="8711" width="9.140625" style="77"/>
    <col min="8712" max="8712" width="8.5703125" style="77" customWidth="1"/>
    <col min="8713" max="8713" width="10.7109375" style="77" customWidth="1"/>
    <col min="8714" max="8730" width="0" style="77" hidden="1" customWidth="1"/>
    <col min="8731" max="8731" width="9.140625" style="77" customWidth="1"/>
    <col min="8732" max="8732" width="9.140625" style="77"/>
    <col min="8733" max="8733" width="12.85546875" style="77" customWidth="1"/>
    <col min="8734" max="8735" width="10.140625" style="77" customWidth="1"/>
    <col min="8736" max="8737" width="9.140625" style="77"/>
    <col min="8738" max="8738" width="9.140625" style="77" customWidth="1"/>
    <col min="8739" max="8739" width="4.7109375" style="77" customWidth="1"/>
    <col min="8740" max="8744" width="14.7109375" style="77" customWidth="1"/>
    <col min="8745" max="8746" width="9.140625" style="77" customWidth="1"/>
    <col min="8747" max="8960" width="9.140625" style="77"/>
    <col min="8961" max="8961" width="13.7109375" style="77" customWidth="1"/>
    <col min="8962" max="8962" width="9.85546875" style="77" customWidth="1"/>
    <col min="8963" max="8963" width="12.28515625" style="77" customWidth="1"/>
    <col min="8964" max="8964" width="10.5703125" style="77" customWidth="1"/>
    <col min="8965" max="8965" width="9.7109375" style="77" customWidth="1"/>
    <col min="8966" max="8966" width="9.42578125" style="77" customWidth="1"/>
    <col min="8967" max="8967" width="9.140625" style="77"/>
    <col min="8968" max="8968" width="8.5703125" style="77" customWidth="1"/>
    <col min="8969" max="8969" width="10.7109375" style="77" customWidth="1"/>
    <col min="8970" max="8986" width="0" style="77" hidden="1" customWidth="1"/>
    <col min="8987" max="8987" width="9.140625" style="77" customWidth="1"/>
    <col min="8988" max="8988" width="9.140625" style="77"/>
    <col min="8989" max="8989" width="12.85546875" style="77" customWidth="1"/>
    <col min="8990" max="8991" width="10.140625" style="77" customWidth="1"/>
    <col min="8992" max="8993" width="9.140625" style="77"/>
    <col min="8994" max="8994" width="9.140625" style="77" customWidth="1"/>
    <col min="8995" max="8995" width="4.7109375" style="77" customWidth="1"/>
    <col min="8996" max="9000" width="14.7109375" style="77" customWidth="1"/>
    <col min="9001" max="9002" width="9.140625" style="77" customWidth="1"/>
    <col min="9003" max="9216" width="9.140625" style="77"/>
    <col min="9217" max="9217" width="13.7109375" style="77" customWidth="1"/>
    <col min="9218" max="9218" width="9.85546875" style="77" customWidth="1"/>
    <col min="9219" max="9219" width="12.28515625" style="77" customWidth="1"/>
    <col min="9220" max="9220" width="10.5703125" style="77" customWidth="1"/>
    <col min="9221" max="9221" width="9.7109375" style="77" customWidth="1"/>
    <col min="9222" max="9222" width="9.42578125" style="77" customWidth="1"/>
    <col min="9223" max="9223" width="9.140625" style="77"/>
    <col min="9224" max="9224" width="8.5703125" style="77" customWidth="1"/>
    <col min="9225" max="9225" width="10.7109375" style="77" customWidth="1"/>
    <col min="9226" max="9242" width="0" style="77" hidden="1" customWidth="1"/>
    <col min="9243" max="9243" width="9.140625" style="77" customWidth="1"/>
    <col min="9244" max="9244" width="9.140625" style="77"/>
    <col min="9245" max="9245" width="12.85546875" style="77" customWidth="1"/>
    <col min="9246" max="9247" width="10.140625" style="77" customWidth="1"/>
    <col min="9248" max="9249" width="9.140625" style="77"/>
    <col min="9250" max="9250" width="9.140625" style="77" customWidth="1"/>
    <col min="9251" max="9251" width="4.7109375" style="77" customWidth="1"/>
    <col min="9252" max="9256" width="14.7109375" style="77" customWidth="1"/>
    <col min="9257" max="9258" width="9.140625" style="77" customWidth="1"/>
    <col min="9259" max="9472" width="9.140625" style="77"/>
    <col min="9473" max="9473" width="13.7109375" style="77" customWidth="1"/>
    <col min="9474" max="9474" width="9.85546875" style="77" customWidth="1"/>
    <col min="9475" max="9475" width="12.28515625" style="77" customWidth="1"/>
    <col min="9476" max="9476" width="10.5703125" style="77" customWidth="1"/>
    <col min="9477" max="9477" width="9.7109375" style="77" customWidth="1"/>
    <col min="9478" max="9478" width="9.42578125" style="77" customWidth="1"/>
    <col min="9479" max="9479" width="9.140625" style="77"/>
    <col min="9480" max="9480" width="8.5703125" style="77" customWidth="1"/>
    <col min="9481" max="9481" width="10.7109375" style="77" customWidth="1"/>
    <col min="9482" max="9498" width="0" style="77" hidden="1" customWidth="1"/>
    <col min="9499" max="9499" width="9.140625" style="77" customWidth="1"/>
    <col min="9500" max="9500" width="9.140625" style="77"/>
    <col min="9501" max="9501" width="12.85546875" style="77" customWidth="1"/>
    <col min="9502" max="9503" width="10.140625" style="77" customWidth="1"/>
    <col min="9504" max="9505" width="9.140625" style="77"/>
    <col min="9506" max="9506" width="9.140625" style="77" customWidth="1"/>
    <col min="9507" max="9507" width="4.7109375" style="77" customWidth="1"/>
    <col min="9508" max="9512" width="14.7109375" style="77" customWidth="1"/>
    <col min="9513" max="9514" width="9.140625" style="77" customWidth="1"/>
    <col min="9515" max="9728" width="9.140625" style="77"/>
    <col min="9729" max="9729" width="13.7109375" style="77" customWidth="1"/>
    <col min="9730" max="9730" width="9.85546875" style="77" customWidth="1"/>
    <col min="9731" max="9731" width="12.28515625" style="77" customWidth="1"/>
    <col min="9732" max="9732" width="10.5703125" style="77" customWidth="1"/>
    <col min="9733" max="9733" width="9.7109375" style="77" customWidth="1"/>
    <col min="9734" max="9734" width="9.42578125" style="77" customWidth="1"/>
    <col min="9735" max="9735" width="9.140625" style="77"/>
    <col min="9736" max="9736" width="8.5703125" style="77" customWidth="1"/>
    <col min="9737" max="9737" width="10.7109375" style="77" customWidth="1"/>
    <col min="9738" max="9754" width="0" style="77" hidden="1" customWidth="1"/>
    <col min="9755" max="9755" width="9.140625" style="77" customWidth="1"/>
    <col min="9756" max="9756" width="9.140625" style="77"/>
    <col min="9757" max="9757" width="12.85546875" style="77" customWidth="1"/>
    <col min="9758" max="9759" width="10.140625" style="77" customWidth="1"/>
    <col min="9760" max="9761" width="9.140625" style="77"/>
    <col min="9762" max="9762" width="9.140625" style="77" customWidth="1"/>
    <col min="9763" max="9763" width="4.7109375" style="77" customWidth="1"/>
    <col min="9764" max="9768" width="14.7109375" style="77" customWidth="1"/>
    <col min="9769" max="9770" width="9.140625" style="77" customWidth="1"/>
    <col min="9771" max="9984" width="9.140625" style="77"/>
    <col min="9985" max="9985" width="13.7109375" style="77" customWidth="1"/>
    <col min="9986" max="9986" width="9.85546875" style="77" customWidth="1"/>
    <col min="9987" max="9987" width="12.28515625" style="77" customWidth="1"/>
    <col min="9988" max="9988" width="10.5703125" style="77" customWidth="1"/>
    <col min="9989" max="9989" width="9.7109375" style="77" customWidth="1"/>
    <col min="9990" max="9990" width="9.42578125" style="77" customWidth="1"/>
    <col min="9991" max="9991" width="9.140625" style="77"/>
    <col min="9992" max="9992" width="8.5703125" style="77" customWidth="1"/>
    <col min="9993" max="9993" width="10.7109375" style="77" customWidth="1"/>
    <col min="9994" max="10010" width="0" style="77" hidden="1" customWidth="1"/>
    <col min="10011" max="10011" width="9.140625" style="77" customWidth="1"/>
    <col min="10012" max="10012" width="9.140625" style="77"/>
    <col min="10013" max="10013" width="12.85546875" style="77" customWidth="1"/>
    <col min="10014" max="10015" width="10.140625" style="77" customWidth="1"/>
    <col min="10016" max="10017" width="9.140625" style="77"/>
    <col min="10018" max="10018" width="9.140625" style="77" customWidth="1"/>
    <col min="10019" max="10019" width="4.7109375" style="77" customWidth="1"/>
    <col min="10020" max="10024" width="14.7109375" style="77" customWidth="1"/>
    <col min="10025" max="10026" width="9.140625" style="77" customWidth="1"/>
    <col min="10027" max="10240" width="9.140625" style="77"/>
    <col min="10241" max="10241" width="13.7109375" style="77" customWidth="1"/>
    <col min="10242" max="10242" width="9.85546875" style="77" customWidth="1"/>
    <col min="10243" max="10243" width="12.28515625" style="77" customWidth="1"/>
    <col min="10244" max="10244" width="10.5703125" style="77" customWidth="1"/>
    <col min="10245" max="10245" width="9.7109375" style="77" customWidth="1"/>
    <col min="10246" max="10246" width="9.42578125" style="77" customWidth="1"/>
    <col min="10247" max="10247" width="9.140625" style="77"/>
    <col min="10248" max="10248" width="8.5703125" style="77" customWidth="1"/>
    <col min="10249" max="10249" width="10.7109375" style="77" customWidth="1"/>
    <col min="10250" max="10266" width="0" style="77" hidden="1" customWidth="1"/>
    <col min="10267" max="10267" width="9.140625" style="77" customWidth="1"/>
    <col min="10268" max="10268" width="9.140625" style="77"/>
    <col min="10269" max="10269" width="12.85546875" style="77" customWidth="1"/>
    <col min="10270" max="10271" width="10.140625" style="77" customWidth="1"/>
    <col min="10272" max="10273" width="9.140625" style="77"/>
    <col min="10274" max="10274" width="9.140625" style="77" customWidth="1"/>
    <col min="10275" max="10275" width="4.7109375" style="77" customWidth="1"/>
    <col min="10276" max="10280" width="14.7109375" style="77" customWidth="1"/>
    <col min="10281" max="10282" width="9.140625" style="77" customWidth="1"/>
    <col min="10283" max="10496" width="9.140625" style="77"/>
    <col min="10497" max="10497" width="13.7109375" style="77" customWidth="1"/>
    <col min="10498" max="10498" width="9.85546875" style="77" customWidth="1"/>
    <col min="10499" max="10499" width="12.28515625" style="77" customWidth="1"/>
    <col min="10500" max="10500" width="10.5703125" style="77" customWidth="1"/>
    <col min="10501" max="10501" width="9.7109375" style="77" customWidth="1"/>
    <col min="10502" max="10502" width="9.42578125" style="77" customWidth="1"/>
    <col min="10503" max="10503" width="9.140625" style="77"/>
    <col min="10504" max="10504" width="8.5703125" style="77" customWidth="1"/>
    <col min="10505" max="10505" width="10.7109375" style="77" customWidth="1"/>
    <col min="10506" max="10522" width="0" style="77" hidden="1" customWidth="1"/>
    <col min="10523" max="10523" width="9.140625" style="77" customWidth="1"/>
    <col min="10524" max="10524" width="9.140625" style="77"/>
    <col min="10525" max="10525" width="12.85546875" style="77" customWidth="1"/>
    <col min="10526" max="10527" width="10.140625" style="77" customWidth="1"/>
    <col min="10528" max="10529" width="9.140625" style="77"/>
    <col min="10530" max="10530" width="9.140625" style="77" customWidth="1"/>
    <col min="10531" max="10531" width="4.7109375" style="77" customWidth="1"/>
    <col min="10532" max="10536" width="14.7109375" style="77" customWidth="1"/>
    <col min="10537" max="10538" width="9.140625" style="77" customWidth="1"/>
    <col min="10539" max="10752" width="9.140625" style="77"/>
    <col min="10753" max="10753" width="13.7109375" style="77" customWidth="1"/>
    <col min="10754" max="10754" width="9.85546875" style="77" customWidth="1"/>
    <col min="10755" max="10755" width="12.28515625" style="77" customWidth="1"/>
    <col min="10756" max="10756" width="10.5703125" style="77" customWidth="1"/>
    <col min="10757" max="10757" width="9.7109375" style="77" customWidth="1"/>
    <col min="10758" max="10758" width="9.42578125" style="77" customWidth="1"/>
    <col min="10759" max="10759" width="9.140625" style="77"/>
    <col min="10760" max="10760" width="8.5703125" style="77" customWidth="1"/>
    <col min="10761" max="10761" width="10.7109375" style="77" customWidth="1"/>
    <col min="10762" max="10778" width="0" style="77" hidden="1" customWidth="1"/>
    <col min="10779" max="10779" width="9.140625" style="77" customWidth="1"/>
    <col min="10780" max="10780" width="9.140625" style="77"/>
    <col min="10781" max="10781" width="12.85546875" style="77" customWidth="1"/>
    <col min="10782" max="10783" width="10.140625" style="77" customWidth="1"/>
    <col min="10784" max="10785" width="9.140625" style="77"/>
    <col min="10786" max="10786" width="9.140625" style="77" customWidth="1"/>
    <col min="10787" max="10787" width="4.7109375" style="77" customWidth="1"/>
    <col min="10788" max="10792" width="14.7109375" style="77" customWidth="1"/>
    <col min="10793" max="10794" width="9.140625" style="77" customWidth="1"/>
    <col min="10795" max="11008" width="9.140625" style="77"/>
    <col min="11009" max="11009" width="13.7109375" style="77" customWidth="1"/>
    <col min="11010" max="11010" width="9.85546875" style="77" customWidth="1"/>
    <col min="11011" max="11011" width="12.28515625" style="77" customWidth="1"/>
    <col min="11012" max="11012" width="10.5703125" style="77" customWidth="1"/>
    <col min="11013" max="11013" width="9.7109375" style="77" customWidth="1"/>
    <col min="11014" max="11014" width="9.42578125" style="77" customWidth="1"/>
    <col min="11015" max="11015" width="9.140625" style="77"/>
    <col min="11016" max="11016" width="8.5703125" style="77" customWidth="1"/>
    <col min="11017" max="11017" width="10.7109375" style="77" customWidth="1"/>
    <col min="11018" max="11034" width="0" style="77" hidden="1" customWidth="1"/>
    <col min="11035" max="11035" width="9.140625" style="77" customWidth="1"/>
    <col min="11036" max="11036" width="9.140625" style="77"/>
    <col min="11037" max="11037" width="12.85546875" style="77" customWidth="1"/>
    <col min="11038" max="11039" width="10.140625" style="77" customWidth="1"/>
    <col min="11040" max="11041" width="9.140625" style="77"/>
    <col min="11042" max="11042" width="9.140625" style="77" customWidth="1"/>
    <col min="11043" max="11043" width="4.7109375" style="77" customWidth="1"/>
    <col min="11044" max="11048" width="14.7109375" style="77" customWidth="1"/>
    <col min="11049" max="11050" width="9.140625" style="77" customWidth="1"/>
    <col min="11051" max="11264" width="9.140625" style="77"/>
    <col min="11265" max="11265" width="13.7109375" style="77" customWidth="1"/>
    <col min="11266" max="11266" width="9.85546875" style="77" customWidth="1"/>
    <col min="11267" max="11267" width="12.28515625" style="77" customWidth="1"/>
    <col min="11268" max="11268" width="10.5703125" style="77" customWidth="1"/>
    <col min="11269" max="11269" width="9.7109375" style="77" customWidth="1"/>
    <col min="11270" max="11270" width="9.42578125" style="77" customWidth="1"/>
    <col min="11271" max="11271" width="9.140625" style="77"/>
    <col min="11272" max="11272" width="8.5703125" style="77" customWidth="1"/>
    <col min="11273" max="11273" width="10.7109375" style="77" customWidth="1"/>
    <col min="11274" max="11290" width="0" style="77" hidden="1" customWidth="1"/>
    <col min="11291" max="11291" width="9.140625" style="77" customWidth="1"/>
    <col min="11292" max="11292" width="9.140625" style="77"/>
    <col min="11293" max="11293" width="12.85546875" style="77" customWidth="1"/>
    <col min="11294" max="11295" width="10.140625" style="77" customWidth="1"/>
    <col min="11296" max="11297" width="9.140625" style="77"/>
    <col min="11298" max="11298" width="9.140625" style="77" customWidth="1"/>
    <col min="11299" max="11299" width="4.7109375" style="77" customWidth="1"/>
    <col min="11300" max="11304" width="14.7109375" style="77" customWidth="1"/>
    <col min="11305" max="11306" width="9.140625" style="77" customWidth="1"/>
    <col min="11307" max="11520" width="9.140625" style="77"/>
    <col min="11521" max="11521" width="13.7109375" style="77" customWidth="1"/>
    <col min="11522" max="11522" width="9.85546875" style="77" customWidth="1"/>
    <col min="11523" max="11523" width="12.28515625" style="77" customWidth="1"/>
    <col min="11524" max="11524" width="10.5703125" style="77" customWidth="1"/>
    <col min="11525" max="11525" width="9.7109375" style="77" customWidth="1"/>
    <col min="11526" max="11526" width="9.42578125" style="77" customWidth="1"/>
    <col min="11527" max="11527" width="9.140625" style="77"/>
    <col min="11528" max="11528" width="8.5703125" style="77" customWidth="1"/>
    <col min="11529" max="11529" width="10.7109375" style="77" customWidth="1"/>
    <col min="11530" max="11546" width="0" style="77" hidden="1" customWidth="1"/>
    <col min="11547" max="11547" width="9.140625" style="77" customWidth="1"/>
    <col min="11548" max="11548" width="9.140625" style="77"/>
    <col min="11549" max="11549" width="12.85546875" style="77" customWidth="1"/>
    <col min="11550" max="11551" width="10.140625" style="77" customWidth="1"/>
    <col min="11552" max="11553" width="9.140625" style="77"/>
    <col min="11554" max="11554" width="9.140625" style="77" customWidth="1"/>
    <col min="11555" max="11555" width="4.7109375" style="77" customWidth="1"/>
    <col min="11556" max="11560" width="14.7109375" style="77" customWidth="1"/>
    <col min="11561" max="11562" width="9.140625" style="77" customWidth="1"/>
    <col min="11563" max="11776" width="9.140625" style="77"/>
    <col min="11777" max="11777" width="13.7109375" style="77" customWidth="1"/>
    <col min="11778" max="11778" width="9.85546875" style="77" customWidth="1"/>
    <col min="11779" max="11779" width="12.28515625" style="77" customWidth="1"/>
    <col min="11780" max="11780" width="10.5703125" style="77" customWidth="1"/>
    <col min="11781" max="11781" width="9.7109375" style="77" customWidth="1"/>
    <col min="11782" max="11782" width="9.42578125" style="77" customWidth="1"/>
    <col min="11783" max="11783" width="9.140625" style="77"/>
    <col min="11784" max="11784" width="8.5703125" style="77" customWidth="1"/>
    <col min="11785" max="11785" width="10.7109375" style="77" customWidth="1"/>
    <col min="11786" max="11802" width="0" style="77" hidden="1" customWidth="1"/>
    <col min="11803" max="11803" width="9.140625" style="77" customWidth="1"/>
    <col min="11804" max="11804" width="9.140625" style="77"/>
    <col min="11805" max="11805" width="12.85546875" style="77" customWidth="1"/>
    <col min="11806" max="11807" width="10.140625" style="77" customWidth="1"/>
    <col min="11808" max="11809" width="9.140625" style="77"/>
    <col min="11810" max="11810" width="9.140625" style="77" customWidth="1"/>
    <col min="11811" max="11811" width="4.7109375" style="77" customWidth="1"/>
    <col min="11812" max="11816" width="14.7109375" style="77" customWidth="1"/>
    <col min="11817" max="11818" width="9.140625" style="77" customWidth="1"/>
    <col min="11819" max="12032" width="9.140625" style="77"/>
    <col min="12033" max="12033" width="13.7109375" style="77" customWidth="1"/>
    <col min="12034" max="12034" width="9.85546875" style="77" customWidth="1"/>
    <col min="12035" max="12035" width="12.28515625" style="77" customWidth="1"/>
    <col min="12036" max="12036" width="10.5703125" style="77" customWidth="1"/>
    <col min="12037" max="12037" width="9.7109375" style="77" customWidth="1"/>
    <col min="12038" max="12038" width="9.42578125" style="77" customWidth="1"/>
    <col min="12039" max="12039" width="9.140625" style="77"/>
    <col min="12040" max="12040" width="8.5703125" style="77" customWidth="1"/>
    <col min="12041" max="12041" width="10.7109375" style="77" customWidth="1"/>
    <col min="12042" max="12058" width="0" style="77" hidden="1" customWidth="1"/>
    <col min="12059" max="12059" width="9.140625" style="77" customWidth="1"/>
    <col min="12060" max="12060" width="9.140625" style="77"/>
    <col min="12061" max="12061" width="12.85546875" style="77" customWidth="1"/>
    <col min="12062" max="12063" width="10.140625" style="77" customWidth="1"/>
    <col min="12064" max="12065" width="9.140625" style="77"/>
    <col min="12066" max="12066" width="9.140625" style="77" customWidth="1"/>
    <col min="12067" max="12067" width="4.7109375" style="77" customWidth="1"/>
    <col min="12068" max="12072" width="14.7109375" style="77" customWidth="1"/>
    <col min="12073" max="12074" width="9.140625" style="77" customWidth="1"/>
    <col min="12075" max="12288" width="9.140625" style="77"/>
    <col min="12289" max="12289" width="13.7109375" style="77" customWidth="1"/>
    <col min="12290" max="12290" width="9.85546875" style="77" customWidth="1"/>
    <col min="12291" max="12291" width="12.28515625" style="77" customWidth="1"/>
    <col min="12292" max="12292" width="10.5703125" style="77" customWidth="1"/>
    <col min="12293" max="12293" width="9.7109375" style="77" customWidth="1"/>
    <col min="12294" max="12294" width="9.42578125" style="77" customWidth="1"/>
    <col min="12295" max="12295" width="9.140625" style="77"/>
    <col min="12296" max="12296" width="8.5703125" style="77" customWidth="1"/>
    <col min="12297" max="12297" width="10.7109375" style="77" customWidth="1"/>
    <col min="12298" max="12314" width="0" style="77" hidden="1" customWidth="1"/>
    <col min="12315" max="12315" width="9.140625" style="77" customWidth="1"/>
    <col min="12316" max="12316" width="9.140625" style="77"/>
    <col min="12317" max="12317" width="12.85546875" style="77" customWidth="1"/>
    <col min="12318" max="12319" width="10.140625" style="77" customWidth="1"/>
    <col min="12320" max="12321" width="9.140625" style="77"/>
    <col min="12322" max="12322" width="9.140625" style="77" customWidth="1"/>
    <col min="12323" max="12323" width="4.7109375" style="77" customWidth="1"/>
    <col min="12324" max="12328" width="14.7109375" style="77" customWidth="1"/>
    <col min="12329" max="12330" width="9.140625" style="77" customWidth="1"/>
    <col min="12331" max="12544" width="9.140625" style="77"/>
    <col min="12545" max="12545" width="13.7109375" style="77" customWidth="1"/>
    <col min="12546" max="12546" width="9.85546875" style="77" customWidth="1"/>
    <col min="12547" max="12547" width="12.28515625" style="77" customWidth="1"/>
    <col min="12548" max="12548" width="10.5703125" style="77" customWidth="1"/>
    <col min="12549" max="12549" width="9.7109375" style="77" customWidth="1"/>
    <col min="12550" max="12550" width="9.42578125" style="77" customWidth="1"/>
    <col min="12551" max="12551" width="9.140625" style="77"/>
    <col min="12552" max="12552" width="8.5703125" style="77" customWidth="1"/>
    <col min="12553" max="12553" width="10.7109375" style="77" customWidth="1"/>
    <col min="12554" max="12570" width="0" style="77" hidden="1" customWidth="1"/>
    <col min="12571" max="12571" width="9.140625" style="77" customWidth="1"/>
    <col min="12572" max="12572" width="9.140625" style="77"/>
    <col min="12573" max="12573" width="12.85546875" style="77" customWidth="1"/>
    <col min="12574" max="12575" width="10.140625" style="77" customWidth="1"/>
    <col min="12576" max="12577" width="9.140625" style="77"/>
    <col min="12578" max="12578" width="9.140625" style="77" customWidth="1"/>
    <col min="12579" max="12579" width="4.7109375" style="77" customWidth="1"/>
    <col min="12580" max="12584" width="14.7109375" style="77" customWidth="1"/>
    <col min="12585" max="12586" width="9.140625" style="77" customWidth="1"/>
    <col min="12587" max="12800" width="9.140625" style="77"/>
    <col min="12801" max="12801" width="13.7109375" style="77" customWidth="1"/>
    <col min="12802" max="12802" width="9.85546875" style="77" customWidth="1"/>
    <col min="12803" max="12803" width="12.28515625" style="77" customWidth="1"/>
    <col min="12804" max="12804" width="10.5703125" style="77" customWidth="1"/>
    <col min="12805" max="12805" width="9.7109375" style="77" customWidth="1"/>
    <col min="12806" max="12806" width="9.42578125" style="77" customWidth="1"/>
    <col min="12807" max="12807" width="9.140625" style="77"/>
    <col min="12808" max="12808" width="8.5703125" style="77" customWidth="1"/>
    <col min="12809" max="12809" width="10.7109375" style="77" customWidth="1"/>
    <col min="12810" max="12826" width="0" style="77" hidden="1" customWidth="1"/>
    <col min="12827" max="12827" width="9.140625" style="77" customWidth="1"/>
    <col min="12828" max="12828" width="9.140625" style="77"/>
    <col min="12829" max="12829" width="12.85546875" style="77" customWidth="1"/>
    <col min="12830" max="12831" width="10.140625" style="77" customWidth="1"/>
    <col min="12832" max="12833" width="9.140625" style="77"/>
    <col min="12834" max="12834" width="9.140625" style="77" customWidth="1"/>
    <col min="12835" max="12835" width="4.7109375" style="77" customWidth="1"/>
    <col min="12836" max="12840" width="14.7109375" style="77" customWidth="1"/>
    <col min="12841" max="12842" width="9.140625" style="77" customWidth="1"/>
    <col min="12843" max="13056" width="9.140625" style="77"/>
    <col min="13057" max="13057" width="13.7109375" style="77" customWidth="1"/>
    <col min="13058" max="13058" width="9.85546875" style="77" customWidth="1"/>
    <col min="13059" max="13059" width="12.28515625" style="77" customWidth="1"/>
    <col min="13060" max="13060" width="10.5703125" style="77" customWidth="1"/>
    <col min="13061" max="13061" width="9.7109375" style="77" customWidth="1"/>
    <col min="13062" max="13062" width="9.42578125" style="77" customWidth="1"/>
    <col min="13063" max="13063" width="9.140625" style="77"/>
    <col min="13064" max="13064" width="8.5703125" style="77" customWidth="1"/>
    <col min="13065" max="13065" width="10.7109375" style="77" customWidth="1"/>
    <col min="13066" max="13082" width="0" style="77" hidden="1" customWidth="1"/>
    <col min="13083" max="13083" width="9.140625" style="77" customWidth="1"/>
    <col min="13084" max="13084" width="9.140625" style="77"/>
    <col min="13085" max="13085" width="12.85546875" style="77" customWidth="1"/>
    <col min="13086" max="13087" width="10.140625" style="77" customWidth="1"/>
    <col min="13088" max="13089" width="9.140625" style="77"/>
    <col min="13090" max="13090" width="9.140625" style="77" customWidth="1"/>
    <col min="13091" max="13091" width="4.7109375" style="77" customWidth="1"/>
    <col min="13092" max="13096" width="14.7109375" style="77" customWidth="1"/>
    <col min="13097" max="13098" width="9.140625" style="77" customWidth="1"/>
    <col min="13099" max="13312" width="9.140625" style="77"/>
    <col min="13313" max="13313" width="13.7109375" style="77" customWidth="1"/>
    <col min="13314" max="13314" width="9.85546875" style="77" customWidth="1"/>
    <col min="13315" max="13315" width="12.28515625" style="77" customWidth="1"/>
    <col min="13316" max="13316" width="10.5703125" style="77" customWidth="1"/>
    <col min="13317" max="13317" width="9.7109375" style="77" customWidth="1"/>
    <col min="13318" max="13318" width="9.42578125" style="77" customWidth="1"/>
    <col min="13319" max="13319" width="9.140625" style="77"/>
    <col min="13320" max="13320" width="8.5703125" style="77" customWidth="1"/>
    <col min="13321" max="13321" width="10.7109375" style="77" customWidth="1"/>
    <col min="13322" max="13338" width="0" style="77" hidden="1" customWidth="1"/>
    <col min="13339" max="13339" width="9.140625" style="77" customWidth="1"/>
    <col min="13340" max="13340" width="9.140625" style="77"/>
    <col min="13341" max="13341" width="12.85546875" style="77" customWidth="1"/>
    <col min="13342" max="13343" width="10.140625" style="77" customWidth="1"/>
    <col min="13344" max="13345" width="9.140625" style="77"/>
    <col min="13346" max="13346" width="9.140625" style="77" customWidth="1"/>
    <col min="13347" max="13347" width="4.7109375" style="77" customWidth="1"/>
    <col min="13348" max="13352" width="14.7109375" style="77" customWidth="1"/>
    <col min="13353" max="13354" width="9.140625" style="77" customWidth="1"/>
    <col min="13355" max="13568" width="9.140625" style="77"/>
    <col min="13569" max="13569" width="13.7109375" style="77" customWidth="1"/>
    <col min="13570" max="13570" width="9.85546875" style="77" customWidth="1"/>
    <col min="13571" max="13571" width="12.28515625" style="77" customWidth="1"/>
    <col min="13572" max="13572" width="10.5703125" style="77" customWidth="1"/>
    <col min="13573" max="13573" width="9.7109375" style="77" customWidth="1"/>
    <col min="13574" max="13574" width="9.42578125" style="77" customWidth="1"/>
    <col min="13575" max="13575" width="9.140625" style="77"/>
    <col min="13576" max="13576" width="8.5703125" style="77" customWidth="1"/>
    <col min="13577" max="13577" width="10.7109375" style="77" customWidth="1"/>
    <col min="13578" max="13594" width="0" style="77" hidden="1" customWidth="1"/>
    <col min="13595" max="13595" width="9.140625" style="77" customWidth="1"/>
    <col min="13596" max="13596" width="9.140625" style="77"/>
    <col min="13597" max="13597" width="12.85546875" style="77" customWidth="1"/>
    <col min="13598" max="13599" width="10.140625" style="77" customWidth="1"/>
    <col min="13600" max="13601" width="9.140625" style="77"/>
    <col min="13602" max="13602" width="9.140625" style="77" customWidth="1"/>
    <col min="13603" max="13603" width="4.7109375" style="77" customWidth="1"/>
    <col min="13604" max="13608" width="14.7109375" style="77" customWidth="1"/>
    <col min="13609" max="13610" width="9.140625" style="77" customWidth="1"/>
    <col min="13611" max="13824" width="9.140625" style="77"/>
    <col min="13825" max="13825" width="13.7109375" style="77" customWidth="1"/>
    <col min="13826" max="13826" width="9.85546875" style="77" customWidth="1"/>
    <col min="13827" max="13827" width="12.28515625" style="77" customWidth="1"/>
    <col min="13828" max="13828" width="10.5703125" style="77" customWidth="1"/>
    <col min="13829" max="13829" width="9.7109375" style="77" customWidth="1"/>
    <col min="13830" max="13830" width="9.42578125" style="77" customWidth="1"/>
    <col min="13831" max="13831" width="9.140625" style="77"/>
    <col min="13832" max="13832" width="8.5703125" style="77" customWidth="1"/>
    <col min="13833" max="13833" width="10.7109375" style="77" customWidth="1"/>
    <col min="13834" max="13850" width="0" style="77" hidden="1" customWidth="1"/>
    <col min="13851" max="13851" width="9.140625" style="77" customWidth="1"/>
    <col min="13852" max="13852" width="9.140625" style="77"/>
    <col min="13853" max="13853" width="12.85546875" style="77" customWidth="1"/>
    <col min="13854" max="13855" width="10.140625" style="77" customWidth="1"/>
    <col min="13856" max="13857" width="9.140625" style="77"/>
    <col min="13858" max="13858" width="9.140625" style="77" customWidth="1"/>
    <col min="13859" max="13859" width="4.7109375" style="77" customWidth="1"/>
    <col min="13860" max="13864" width="14.7109375" style="77" customWidth="1"/>
    <col min="13865" max="13866" width="9.140625" style="77" customWidth="1"/>
    <col min="13867" max="14080" width="9.140625" style="77"/>
    <col min="14081" max="14081" width="13.7109375" style="77" customWidth="1"/>
    <col min="14082" max="14082" width="9.85546875" style="77" customWidth="1"/>
    <col min="14083" max="14083" width="12.28515625" style="77" customWidth="1"/>
    <col min="14084" max="14084" width="10.5703125" style="77" customWidth="1"/>
    <col min="14085" max="14085" width="9.7109375" style="77" customWidth="1"/>
    <col min="14086" max="14086" width="9.42578125" style="77" customWidth="1"/>
    <col min="14087" max="14087" width="9.140625" style="77"/>
    <col min="14088" max="14088" width="8.5703125" style="77" customWidth="1"/>
    <col min="14089" max="14089" width="10.7109375" style="77" customWidth="1"/>
    <col min="14090" max="14106" width="0" style="77" hidden="1" customWidth="1"/>
    <col min="14107" max="14107" width="9.140625" style="77" customWidth="1"/>
    <col min="14108" max="14108" width="9.140625" style="77"/>
    <col min="14109" max="14109" width="12.85546875" style="77" customWidth="1"/>
    <col min="14110" max="14111" width="10.140625" style="77" customWidth="1"/>
    <col min="14112" max="14113" width="9.140625" style="77"/>
    <col min="14114" max="14114" width="9.140625" style="77" customWidth="1"/>
    <col min="14115" max="14115" width="4.7109375" style="77" customWidth="1"/>
    <col min="14116" max="14120" width="14.7109375" style="77" customWidth="1"/>
    <col min="14121" max="14122" width="9.140625" style="77" customWidth="1"/>
    <col min="14123" max="14336" width="9.140625" style="77"/>
    <col min="14337" max="14337" width="13.7109375" style="77" customWidth="1"/>
    <col min="14338" max="14338" width="9.85546875" style="77" customWidth="1"/>
    <col min="14339" max="14339" width="12.28515625" style="77" customWidth="1"/>
    <col min="14340" max="14340" width="10.5703125" style="77" customWidth="1"/>
    <col min="14341" max="14341" width="9.7109375" style="77" customWidth="1"/>
    <col min="14342" max="14342" width="9.42578125" style="77" customWidth="1"/>
    <col min="14343" max="14343" width="9.140625" style="77"/>
    <col min="14344" max="14344" width="8.5703125" style="77" customWidth="1"/>
    <col min="14345" max="14345" width="10.7109375" style="77" customWidth="1"/>
    <col min="14346" max="14362" width="0" style="77" hidden="1" customWidth="1"/>
    <col min="14363" max="14363" width="9.140625" style="77" customWidth="1"/>
    <col min="14364" max="14364" width="9.140625" style="77"/>
    <col min="14365" max="14365" width="12.85546875" style="77" customWidth="1"/>
    <col min="14366" max="14367" width="10.140625" style="77" customWidth="1"/>
    <col min="14368" max="14369" width="9.140625" style="77"/>
    <col min="14370" max="14370" width="9.140625" style="77" customWidth="1"/>
    <col min="14371" max="14371" width="4.7109375" style="77" customWidth="1"/>
    <col min="14372" max="14376" width="14.7109375" style="77" customWidth="1"/>
    <col min="14377" max="14378" width="9.140625" style="77" customWidth="1"/>
    <col min="14379" max="14592" width="9.140625" style="77"/>
    <col min="14593" max="14593" width="13.7109375" style="77" customWidth="1"/>
    <col min="14594" max="14594" width="9.85546875" style="77" customWidth="1"/>
    <col min="14595" max="14595" width="12.28515625" style="77" customWidth="1"/>
    <col min="14596" max="14596" width="10.5703125" style="77" customWidth="1"/>
    <col min="14597" max="14597" width="9.7109375" style="77" customWidth="1"/>
    <col min="14598" max="14598" width="9.42578125" style="77" customWidth="1"/>
    <col min="14599" max="14599" width="9.140625" style="77"/>
    <col min="14600" max="14600" width="8.5703125" style="77" customWidth="1"/>
    <col min="14601" max="14601" width="10.7109375" style="77" customWidth="1"/>
    <col min="14602" max="14618" width="0" style="77" hidden="1" customWidth="1"/>
    <col min="14619" max="14619" width="9.140625" style="77" customWidth="1"/>
    <col min="14620" max="14620" width="9.140625" style="77"/>
    <col min="14621" max="14621" width="12.85546875" style="77" customWidth="1"/>
    <col min="14622" max="14623" width="10.140625" style="77" customWidth="1"/>
    <col min="14624" max="14625" width="9.140625" style="77"/>
    <col min="14626" max="14626" width="9.140625" style="77" customWidth="1"/>
    <col min="14627" max="14627" width="4.7109375" style="77" customWidth="1"/>
    <col min="14628" max="14632" width="14.7109375" style="77" customWidth="1"/>
    <col min="14633" max="14634" width="9.140625" style="77" customWidth="1"/>
    <col min="14635" max="14848" width="9.140625" style="77"/>
    <col min="14849" max="14849" width="13.7109375" style="77" customWidth="1"/>
    <col min="14850" max="14850" width="9.85546875" style="77" customWidth="1"/>
    <col min="14851" max="14851" width="12.28515625" style="77" customWidth="1"/>
    <col min="14852" max="14852" width="10.5703125" style="77" customWidth="1"/>
    <col min="14853" max="14853" width="9.7109375" style="77" customWidth="1"/>
    <col min="14854" max="14854" width="9.42578125" style="77" customWidth="1"/>
    <col min="14855" max="14855" width="9.140625" style="77"/>
    <col min="14856" max="14856" width="8.5703125" style="77" customWidth="1"/>
    <col min="14857" max="14857" width="10.7109375" style="77" customWidth="1"/>
    <col min="14858" max="14874" width="0" style="77" hidden="1" customWidth="1"/>
    <col min="14875" max="14875" width="9.140625" style="77" customWidth="1"/>
    <col min="14876" max="14876" width="9.140625" style="77"/>
    <col min="14877" max="14877" width="12.85546875" style="77" customWidth="1"/>
    <col min="14878" max="14879" width="10.140625" style="77" customWidth="1"/>
    <col min="14880" max="14881" width="9.140625" style="77"/>
    <col min="14882" max="14882" width="9.140625" style="77" customWidth="1"/>
    <col min="14883" max="14883" width="4.7109375" style="77" customWidth="1"/>
    <col min="14884" max="14888" width="14.7109375" style="77" customWidth="1"/>
    <col min="14889" max="14890" width="9.140625" style="77" customWidth="1"/>
    <col min="14891" max="15104" width="9.140625" style="77"/>
    <col min="15105" max="15105" width="13.7109375" style="77" customWidth="1"/>
    <col min="15106" max="15106" width="9.85546875" style="77" customWidth="1"/>
    <col min="15107" max="15107" width="12.28515625" style="77" customWidth="1"/>
    <col min="15108" max="15108" width="10.5703125" style="77" customWidth="1"/>
    <col min="15109" max="15109" width="9.7109375" style="77" customWidth="1"/>
    <col min="15110" max="15110" width="9.42578125" style="77" customWidth="1"/>
    <col min="15111" max="15111" width="9.140625" style="77"/>
    <col min="15112" max="15112" width="8.5703125" style="77" customWidth="1"/>
    <col min="15113" max="15113" width="10.7109375" style="77" customWidth="1"/>
    <col min="15114" max="15130" width="0" style="77" hidden="1" customWidth="1"/>
    <col min="15131" max="15131" width="9.140625" style="77" customWidth="1"/>
    <col min="15132" max="15132" width="9.140625" style="77"/>
    <col min="15133" max="15133" width="12.85546875" style="77" customWidth="1"/>
    <col min="15134" max="15135" width="10.140625" style="77" customWidth="1"/>
    <col min="15136" max="15137" width="9.140625" style="77"/>
    <col min="15138" max="15138" width="9.140625" style="77" customWidth="1"/>
    <col min="15139" max="15139" width="4.7109375" style="77" customWidth="1"/>
    <col min="15140" max="15144" width="14.7109375" style="77" customWidth="1"/>
    <col min="15145" max="15146" width="9.140625" style="77" customWidth="1"/>
    <col min="15147" max="15360" width="9.140625" style="77"/>
    <col min="15361" max="15361" width="13.7109375" style="77" customWidth="1"/>
    <col min="15362" max="15362" width="9.85546875" style="77" customWidth="1"/>
    <col min="15363" max="15363" width="12.28515625" style="77" customWidth="1"/>
    <col min="15364" max="15364" width="10.5703125" style="77" customWidth="1"/>
    <col min="15365" max="15365" width="9.7109375" style="77" customWidth="1"/>
    <col min="15366" max="15366" width="9.42578125" style="77" customWidth="1"/>
    <col min="15367" max="15367" width="9.140625" style="77"/>
    <col min="15368" max="15368" width="8.5703125" style="77" customWidth="1"/>
    <col min="15369" max="15369" width="10.7109375" style="77" customWidth="1"/>
    <col min="15370" max="15386" width="0" style="77" hidden="1" customWidth="1"/>
    <col min="15387" max="15387" width="9.140625" style="77" customWidth="1"/>
    <col min="15388" max="15388" width="9.140625" style="77"/>
    <col min="15389" max="15389" width="12.85546875" style="77" customWidth="1"/>
    <col min="15390" max="15391" width="10.140625" style="77" customWidth="1"/>
    <col min="15392" max="15393" width="9.140625" style="77"/>
    <col min="15394" max="15394" width="9.140625" style="77" customWidth="1"/>
    <col min="15395" max="15395" width="4.7109375" style="77" customWidth="1"/>
    <col min="15396" max="15400" width="14.7109375" style="77" customWidth="1"/>
    <col min="15401" max="15402" width="9.140625" style="77" customWidth="1"/>
    <col min="15403" max="15616" width="9.140625" style="77"/>
    <col min="15617" max="15617" width="13.7109375" style="77" customWidth="1"/>
    <col min="15618" max="15618" width="9.85546875" style="77" customWidth="1"/>
    <col min="15619" max="15619" width="12.28515625" style="77" customWidth="1"/>
    <col min="15620" max="15620" width="10.5703125" style="77" customWidth="1"/>
    <col min="15621" max="15621" width="9.7109375" style="77" customWidth="1"/>
    <col min="15622" max="15622" width="9.42578125" style="77" customWidth="1"/>
    <col min="15623" max="15623" width="9.140625" style="77"/>
    <col min="15624" max="15624" width="8.5703125" style="77" customWidth="1"/>
    <col min="15625" max="15625" width="10.7109375" style="77" customWidth="1"/>
    <col min="15626" max="15642" width="0" style="77" hidden="1" customWidth="1"/>
    <col min="15643" max="15643" width="9.140625" style="77" customWidth="1"/>
    <col min="15644" max="15644" width="9.140625" style="77"/>
    <col min="15645" max="15645" width="12.85546875" style="77" customWidth="1"/>
    <col min="15646" max="15647" width="10.140625" style="77" customWidth="1"/>
    <col min="15648" max="15649" width="9.140625" style="77"/>
    <col min="15650" max="15650" width="9.140625" style="77" customWidth="1"/>
    <col min="15651" max="15651" width="4.7109375" style="77" customWidth="1"/>
    <col min="15652" max="15656" width="14.7109375" style="77" customWidth="1"/>
    <col min="15657" max="15658" width="9.140625" style="77" customWidth="1"/>
    <col min="15659" max="15872" width="9.140625" style="77"/>
    <col min="15873" max="15873" width="13.7109375" style="77" customWidth="1"/>
    <col min="15874" max="15874" width="9.85546875" style="77" customWidth="1"/>
    <col min="15875" max="15875" width="12.28515625" style="77" customWidth="1"/>
    <col min="15876" max="15876" width="10.5703125" style="77" customWidth="1"/>
    <col min="15877" max="15877" width="9.7109375" style="77" customWidth="1"/>
    <col min="15878" max="15878" width="9.42578125" style="77" customWidth="1"/>
    <col min="15879" max="15879" width="9.140625" style="77"/>
    <col min="15880" max="15880" width="8.5703125" style="77" customWidth="1"/>
    <col min="15881" max="15881" width="10.7109375" style="77" customWidth="1"/>
    <col min="15882" max="15898" width="0" style="77" hidden="1" customWidth="1"/>
    <col min="15899" max="15899" width="9.140625" style="77" customWidth="1"/>
    <col min="15900" max="15900" width="9.140625" style="77"/>
    <col min="15901" max="15901" width="12.85546875" style="77" customWidth="1"/>
    <col min="15902" max="15903" width="10.140625" style="77" customWidth="1"/>
    <col min="15904" max="15905" width="9.140625" style="77"/>
    <col min="15906" max="15906" width="9.140625" style="77" customWidth="1"/>
    <col min="15907" max="15907" width="4.7109375" style="77" customWidth="1"/>
    <col min="15908" max="15912" width="14.7109375" style="77" customWidth="1"/>
    <col min="15913" max="15914" width="9.140625" style="77" customWidth="1"/>
    <col min="15915" max="16128" width="9.140625" style="77"/>
    <col min="16129" max="16129" width="13.7109375" style="77" customWidth="1"/>
    <col min="16130" max="16130" width="9.85546875" style="77" customWidth="1"/>
    <col min="16131" max="16131" width="12.28515625" style="77" customWidth="1"/>
    <col min="16132" max="16132" width="10.5703125" style="77" customWidth="1"/>
    <col min="16133" max="16133" width="9.7109375" style="77" customWidth="1"/>
    <col min="16134" max="16134" width="9.42578125" style="77" customWidth="1"/>
    <col min="16135" max="16135" width="9.140625" style="77"/>
    <col min="16136" max="16136" width="8.5703125" style="77" customWidth="1"/>
    <col min="16137" max="16137" width="10.7109375" style="77" customWidth="1"/>
    <col min="16138" max="16154" width="0" style="77" hidden="1" customWidth="1"/>
    <col min="16155" max="16155" width="9.140625" style="77" customWidth="1"/>
    <col min="16156" max="16156" width="9.140625" style="77"/>
    <col min="16157" max="16157" width="12.85546875" style="77" customWidth="1"/>
    <col min="16158" max="16159" width="10.140625" style="77" customWidth="1"/>
    <col min="16160" max="16161" width="9.140625" style="77"/>
    <col min="16162" max="16162" width="9.140625" style="77" customWidth="1"/>
    <col min="16163" max="16163" width="4.7109375" style="77" customWidth="1"/>
    <col min="16164" max="16168" width="14.7109375" style="77" customWidth="1"/>
    <col min="16169" max="16170" width="9.140625" style="77" customWidth="1"/>
    <col min="16171" max="16384" width="9.140625" style="77"/>
  </cols>
  <sheetData>
    <row r="1" spans="1:128" ht="15.75">
      <c r="A1" s="7" t="s">
        <v>985</v>
      </c>
      <c r="B1" s="8"/>
      <c r="C1" s="9"/>
      <c r="D1" s="9"/>
      <c r="E1" s="9"/>
      <c r="F1" s="9"/>
      <c r="G1" s="634"/>
      <c r="H1" s="634"/>
      <c r="I1" s="635"/>
      <c r="J1" s="12"/>
      <c r="K1" s="25" t="s">
        <v>25</v>
      </c>
      <c r="L1" s="4" t="s">
        <v>55</v>
      </c>
      <c r="M1" s="25"/>
      <c r="N1" s="33"/>
      <c r="O1" s="33"/>
      <c r="P1" s="33"/>
      <c r="Q1" s="33"/>
      <c r="R1" s="33"/>
      <c r="S1" s="33"/>
      <c r="U1" s="33"/>
      <c r="V1" s="33"/>
      <c r="W1" s="33"/>
      <c r="X1" s="33"/>
      <c r="Y1" s="33"/>
      <c r="Z1" s="33"/>
      <c r="AA1" s="1405" t="str">
        <f>Doc!$K$1</f>
        <v>Version 2.3 Updated 8/1/16</v>
      </c>
      <c r="AB1" s="1406"/>
      <c r="AC1" s="33"/>
      <c r="AD1" s="33"/>
      <c r="AE1" s="33"/>
      <c r="AF1" s="33"/>
      <c r="AG1" s="33"/>
      <c r="AH1" s="33"/>
      <c r="AI1" s="565" t="s">
        <v>1086</v>
      </c>
      <c r="AJ1" s="929"/>
      <c r="AK1" s="566"/>
      <c r="AL1" s="566"/>
      <c r="AM1" s="566"/>
      <c r="AN1" s="566"/>
      <c r="AO1" s="566"/>
      <c r="AP1" s="567"/>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c r="DH1" s="33"/>
      <c r="DI1" s="33"/>
      <c r="DJ1" s="33"/>
      <c r="DK1" s="33"/>
      <c r="DL1" s="33"/>
      <c r="DM1" s="33"/>
      <c r="DN1" s="57"/>
      <c r="DO1" s="91"/>
      <c r="DS1" s="33"/>
      <c r="DT1" s="21"/>
    </row>
    <row r="2" spans="1:128" ht="12.75" customHeight="1">
      <c r="A2" s="22" t="s">
        <v>452</v>
      </c>
      <c r="B2" s="23"/>
      <c r="C2" s="23"/>
      <c r="D2" s="23"/>
      <c r="E2" s="23"/>
      <c r="F2" s="23"/>
      <c r="G2" s="23"/>
      <c r="H2" s="23"/>
      <c r="I2" s="24"/>
      <c r="J2" s="25"/>
      <c r="K2" s="25" t="s">
        <v>25</v>
      </c>
      <c r="L2" s="25" t="s">
        <v>25</v>
      </c>
      <c r="M2" s="25" t="s">
        <v>25</v>
      </c>
      <c r="N2" s="33"/>
      <c r="O2" s="930"/>
      <c r="P2" s="33"/>
      <c r="Q2" s="33"/>
      <c r="R2" s="33"/>
      <c r="S2" s="33"/>
      <c r="U2" s="33"/>
      <c r="V2" s="33"/>
      <c r="W2" s="33"/>
      <c r="X2" s="33"/>
      <c r="Y2" s="33"/>
      <c r="Z2" s="33"/>
      <c r="AA2" s="33"/>
      <c r="AB2" s="33"/>
      <c r="AC2" s="33"/>
      <c r="AD2" s="33"/>
      <c r="AE2" s="33"/>
      <c r="AF2" s="33"/>
      <c r="AG2" s="33"/>
      <c r="AH2" s="33"/>
      <c r="AI2" s="931" t="s">
        <v>1087</v>
      </c>
      <c r="AJ2" s="929"/>
      <c r="AK2" s="637"/>
      <c r="AL2" s="637"/>
      <c r="AM2" s="637"/>
      <c r="AN2" s="637"/>
      <c r="AO2" s="637"/>
      <c r="AP2" s="920"/>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91"/>
      <c r="DS2" s="33"/>
      <c r="DT2" s="25"/>
      <c r="DU2" s="27"/>
      <c r="DX2" s="28"/>
    </row>
    <row r="3" spans="1:128" ht="12.75" customHeight="1">
      <c r="A3" s="29" t="s">
        <v>1088</v>
      </c>
      <c r="B3" s="30"/>
      <c r="C3" s="31"/>
      <c r="D3" s="31"/>
      <c r="E3" s="31"/>
      <c r="F3" s="31"/>
      <c r="G3" s="31"/>
      <c r="H3" s="31"/>
      <c r="I3" s="32"/>
      <c r="J3" s="33"/>
      <c r="K3" s="932" t="s">
        <v>28</v>
      </c>
      <c r="L3" s="270" t="s">
        <v>1199</v>
      </c>
      <c r="M3" s="36"/>
      <c r="N3" s="36"/>
      <c r="O3" s="36"/>
      <c r="P3" s="36"/>
      <c r="Q3" s="37"/>
      <c r="R3" s="38"/>
      <c r="S3" s="38"/>
      <c r="T3" s="35" t="s">
        <v>1086</v>
      </c>
      <c r="U3" s="36"/>
      <c r="V3" s="36"/>
      <c r="W3" s="37"/>
      <c r="X3" s="33"/>
      <c r="Y3" s="33"/>
      <c r="Z3" s="33"/>
      <c r="AA3" s="33"/>
      <c r="AB3" s="33"/>
      <c r="AC3" s="33"/>
      <c r="AD3" s="33"/>
      <c r="AE3" s="33"/>
      <c r="AF3" s="33"/>
      <c r="AG3" s="33"/>
      <c r="AH3" s="33"/>
      <c r="AI3" s="933" t="s">
        <v>1089</v>
      </c>
      <c r="AJ3" s="934" t="s">
        <v>1090</v>
      </c>
      <c r="AK3" s="935"/>
      <c r="AL3" s="935"/>
      <c r="AM3" s="936"/>
      <c r="AN3" s="936"/>
      <c r="AO3" s="645" t="s">
        <v>989</v>
      </c>
      <c r="AP3" s="645" t="s">
        <v>990</v>
      </c>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91"/>
      <c r="DS3" s="33"/>
      <c r="DT3" s="39"/>
      <c r="DX3" s="27"/>
    </row>
    <row r="4" spans="1:128" ht="12.75" customHeight="1">
      <c r="A4" s="644" t="s">
        <v>24</v>
      </c>
      <c r="B4" s="1346" t="s">
        <v>1240</v>
      </c>
      <c r="C4" s="248"/>
      <c r="D4" s="248"/>
      <c r="E4" s="248"/>
      <c r="F4" s="40" t="s">
        <v>40</v>
      </c>
      <c r="G4" s="1059" t="s">
        <v>1245</v>
      </c>
      <c r="H4" s="373"/>
      <c r="I4" s="374"/>
      <c r="J4" s="33"/>
      <c r="K4" s="932" t="s">
        <v>30</v>
      </c>
      <c r="L4" s="41" t="s">
        <v>145</v>
      </c>
      <c r="M4" s="42"/>
      <c r="N4" s="42"/>
      <c r="O4" s="42"/>
      <c r="P4" s="42"/>
      <c r="Q4" s="43"/>
      <c r="R4" s="38"/>
      <c r="S4" s="38"/>
      <c r="T4" s="41" t="s">
        <v>1091</v>
      </c>
      <c r="U4" s="42"/>
      <c r="V4" s="42"/>
      <c r="W4" s="43"/>
      <c r="X4" s="33"/>
      <c r="Y4" s="33"/>
      <c r="Z4" s="33"/>
      <c r="AA4" s="33"/>
      <c r="AB4" s="754"/>
      <c r="AC4" s="755"/>
      <c r="AD4" s="755"/>
      <c r="AE4" s="756"/>
      <c r="AF4" s="753"/>
      <c r="AH4" s="33"/>
      <c r="AI4" s="1439" t="s">
        <v>1092</v>
      </c>
      <c r="AJ4" s="1441" t="s">
        <v>1093</v>
      </c>
      <c r="AK4" s="1442"/>
      <c r="AL4" s="1442"/>
      <c r="AM4" s="1442"/>
      <c r="AN4" s="1443"/>
      <c r="AO4" s="1446">
        <v>2.5</v>
      </c>
      <c r="AP4" s="1446">
        <v>6</v>
      </c>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91"/>
      <c r="DS4" s="33"/>
      <c r="DT4" s="27"/>
      <c r="DU4" s="33"/>
      <c r="DX4" s="44"/>
    </row>
    <row r="5" spans="1:128" ht="12.75" customHeight="1">
      <c r="A5" s="644" t="s">
        <v>26</v>
      </c>
      <c r="B5" s="1350" t="s">
        <v>1241</v>
      </c>
      <c r="C5" s="250"/>
      <c r="D5" s="250"/>
      <c r="E5" s="250"/>
      <c r="F5" s="6" t="s">
        <v>41</v>
      </c>
      <c r="G5" s="1348" t="s">
        <v>1243</v>
      </c>
      <c r="H5" s="6" t="s">
        <v>39</v>
      </c>
      <c r="I5" s="251"/>
      <c r="J5" s="33"/>
      <c r="K5" s="932" t="s">
        <v>27</v>
      </c>
      <c r="L5" s="45" t="s">
        <v>37</v>
      </c>
      <c r="M5" s="46" t="s">
        <v>69</v>
      </c>
      <c r="N5" s="46" t="s">
        <v>70</v>
      </c>
      <c r="O5" s="46" t="s">
        <v>71</v>
      </c>
      <c r="P5" s="46" t="s">
        <v>72</v>
      </c>
      <c r="Q5" s="46" t="s">
        <v>73</v>
      </c>
      <c r="R5" s="25" t="s">
        <v>56</v>
      </c>
      <c r="S5" s="25"/>
      <c r="T5" s="937" t="s">
        <v>1089</v>
      </c>
      <c r="U5" s="938" t="s">
        <v>1090</v>
      </c>
      <c r="V5" s="939" t="s">
        <v>994</v>
      </c>
      <c r="W5" s="146" t="s">
        <v>995</v>
      </c>
      <c r="X5" s="33"/>
      <c r="Y5" s="25"/>
      <c r="Z5" s="25"/>
      <c r="AA5" s="33"/>
      <c r="AB5" s="754" t="s">
        <v>491</v>
      </c>
      <c r="AC5" s="755"/>
      <c r="AD5" s="755"/>
      <c r="AE5" s="756"/>
      <c r="AF5" s="753"/>
      <c r="AG5" s="753"/>
      <c r="AH5" s="33"/>
      <c r="AI5" s="1440"/>
      <c r="AJ5" s="1444"/>
      <c r="AK5" s="1444"/>
      <c r="AL5" s="1444"/>
      <c r="AM5" s="1444"/>
      <c r="AN5" s="1445"/>
      <c r="AO5" s="1447"/>
      <c r="AP5" s="1447"/>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751"/>
      <c r="CP5" s="751"/>
      <c r="CQ5" s="751"/>
      <c r="CR5" s="751"/>
      <c r="CS5" s="751"/>
      <c r="CT5" s="751"/>
      <c r="CU5" s="751"/>
      <c r="CV5" s="751"/>
      <c r="CW5" s="751"/>
      <c r="CX5" s="751"/>
      <c r="CY5" s="751"/>
      <c r="CZ5" s="751"/>
      <c r="DA5" s="751"/>
      <c r="DB5" s="751"/>
      <c r="DC5" s="751"/>
      <c r="DD5" s="751"/>
      <c r="DE5" s="751"/>
      <c r="DF5" s="751"/>
      <c r="DG5" s="751"/>
      <c r="DH5" s="751"/>
      <c r="DI5" s="751"/>
      <c r="DJ5" s="751"/>
      <c r="DK5" s="751"/>
      <c r="DL5" s="751"/>
      <c r="DM5" s="751"/>
      <c r="DN5" s="33"/>
      <c r="DO5" s="91"/>
      <c r="DS5" s="33"/>
      <c r="DT5" s="27"/>
      <c r="DU5" s="33"/>
      <c r="DX5" s="44"/>
    </row>
    <row r="6" spans="1:128" ht="12.75" customHeight="1">
      <c r="A6" s="49"/>
      <c r="B6" s="33"/>
      <c r="C6" s="33"/>
      <c r="D6" s="33"/>
      <c r="E6" s="33"/>
      <c r="F6" s="33"/>
      <c r="G6" s="720"/>
      <c r="H6" s="25"/>
      <c r="I6" s="1248"/>
      <c r="J6" s="50"/>
      <c r="K6" s="932" t="s">
        <v>34</v>
      </c>
      <c r="L6" s="52" t="s">
        <v>29</v>
      </c>
      <c r="M6" s="52">
        <v>0.8</v>
      </c>
      <c r="N6" s="52">
        <v>0.8</v>
      </c>
      <c r="O6" s="52">
        <v>0.8</v>
      </c>
      <c r="P6" s="52">
        <v>0.8</v>
      </c>
      <c r="Q6" s="52">
        <v>0.8</v>
      </c>
      <c r="R6" s="1076">
        <v>0.8</v>
      </c>
      <c r="S6" s="53"/>
      <c r="T6" s="357" t="s">
        <v>997</v>
      </c>
      <c r="U6" s="940" t="s">
        <v>1093</v>
      </c>
      <c r="V6" s="941">
        <v>2.5</v>
      </c>
      <c r="W6" s="941">
        <v>6</v>
      </c>
      <c r="X6" s="751"/>
      <c r="Y6" s="53"/>
      <c r="Z6" s="53"/>
      <c r="AA6" s="751"/>
      <c r="AB6" s="1419" t="s">
        <v>575</v>
      </c>
      <c r="AC6" s="1419"/>
      <c r="AD6" s="1419"/>
      <c r="AE6" s="1419"/>
      <c r="AF6" s="753"/>
      <c r="AG6" s="753"/>
      <c r="AH6" s="751"/>
      <c r="AI6" s="1451" t="s">
        <v>1094</v>
      </c>
      <c r="AJ6" s="1452" t="s">
        <v>1095</v>
      </c>
      <c r="AK6" s="1453"/>
      <c r="AL6" s="1453"/>
      <c r="AM6" s="1453"/>
      <c r="AN6" s="1454"/>
      <c r="AO6" s="1456">
        <v>1</v>
      </c>
      <c r="AP6" s="1456">
        <v>2.5</v>
      </c>
      <c r="AQ6" s="751"/>
      <c r="AR6" s="751"/>
      <c r="AS6" s="751"/>
      <c r="AT6" s="751"/>
      <c r="AU6" s="751"/>
      <c r="AV6" s="751"/>
      <c r="AW6" s="751"/>
      <c r="AX6" s="751"/>
      <c r="AY6" s="751"/>
      <c r="AZ6" s="751"/>
      <c r="BA6" s="751"/>
      <c r="BB6" s="751"/>
      <c r="BC6" s="751"/>
      <c r="BD6" s="751"/>
      <c r="BE6" s="751"/>
      <c r="BF6" s="751"/>
      <c r="BG6" s="751"/>
      <c r="BH6" s="751"/>
      <c r="BI6" s="751"/>
      <c r="BJ6" s="751"/>
      <c r="BK6" s="751"/>
      <c r="BL6" s="751"/>
      <c r="BM6" s="751"/>
      <c r="BN6" s="751"/>
      <c r="BO6" s="751"/>
      <c r="BP6" s="751"/>
      <c r="BQ6" s="751"/>
      <c r="BR6" s="751"/>
      <c r="BS6" s="751"/>
      <c r="BT6" s="751"/>
      <c r="BU6" s="751"/>
      <c r="BV6" s="751"/>
      <c r="BW6" s="751"/>
      <c r="BX6" s="751"/>
      <c r="BY6" s="751"/>
      <c r="BZ6" s="751"/>
      <c r="CA6" s="751"/>
      <c r="CB6" s="751"/>
      <c r="CC6" s="751"/>
      <c r="CD6" s="751"/>
      <c r="CE6" s="751"/>
      <c r="CF6" s="751"/>
      <c r="CG6" s="751"/>
      <c r="CH6" s="751"/>
      <c r="CI6" s="751"/>
      <c r="CJ6" s="751"/>
      <c r="CK6" s="751"/>
      <c r="CL6" s="751"/>
      <c r="CM6" s="751"/>
      <c r="CN6" s="751"/>
      <c r="CO6" s="751"/>
      <c r="CP6" s="751"/>
      <c r="CQ6" s="751"/>
      <c r="CR6" s="751"/>
      <c r="CS6" s="751"/>
      <c r="CT6" s="751"/>
      <c r="CU6" s="751"/>
      <c r="CV6" s="751"/>
      <c r="CW6" s="751"/>
      <c r="CX6" s="751"/>
      <c r="CY6" s="751"/>
      <c r="CZ6" s="751"/>
      <c r="DA6" s="751"/>
      <c r="DB6" s="751"/>
      <c r="DC6" s="751"/>
      <c r="DD6" s="751"/>
      <c r="DE6" s="751"/>
      <c r="DF6" s="751"/>
      <c r="DG6" s="751"/>
      <c r="DH6" s="751"/>
      <c r="DI6" s="751"/>
      <c r="DJ6" s="751"/>
      <c r="DK6" s="751"/>
      <c r="DL6" s="751"/>
      <c r="DM6" s="751"/>
      <c r="DN6" s="751"/>
      <c r="DO6" s="91"/>
      <c r="DS6" s="33"/>
      <c r="DT6" s="39"/>
    </row>
    <row r="7" spans="1:128" ht="12.75" customHeight="1">
      <c r="A7" s="54" t="s">
        <v>57</v>
      </c>
      <c r="B7" s="33"/>
      <c r="C7" s="33"/>
      <c r="D7" s="39"/>
      <c r="E7" s="1249"/>
      <c r="F7" s="33"/>
      <c r="G7" s="33"/>
      <c r="H7" s="33"/>
      <c r="I7" s="375"/>
      <c r="J7" s="57"/>
      <c r="K7" s="53">
        <v>1</v>
      </c>
      <c r="L7" s="59" t="s">
        <v>31</v>
      </c>
      <c r="M7" s="59">
        <v>1</v>
      </c>
      <c r="N7" s="59">
        <v>1</v>
      </c>
      <c r="O7" s="59">
        <v>1</v>
      </c>
      <c r="P7" s="59">
        <v>1</v>
      </c>
      <c r="Q7" s="59">
        <v>1</v>
      </c>
      <c r="R7" s="1083">
        <v>1</v>
      </c>
      <c r="S7" s="60"/>
      <c r="T7" s="325" t="s">
        <v>1000</v>
      </c>
      <c r="U7" s="942" t="s">
        <v>1095</v>
      </c>
      <c r="V7" s="384">
        <v>1</v>
      </c>
      <c r="W7" s="384">
        <v>2.5</v>
      </c>
      <c r="X7" s="33"/>
      <c r="Y7" s="751"/>
      <c r="Z7" s="751"/>
      <c r="AA7" s="751"/>
      <c r="AB7" s="757"/>
      <c r="AC7" s="757"/>
      <c r="AD7" s="757"/>
      <c r="AE7" s="757"/>
      <c r="AF7" s="757"/>
      <c r="AG7" s="757"/>
      <c r="AH7" s="751"/>
      <c r="AI7" s="1451"/>
      <c r="AJ7" s="1455"/>
      <c r="AK7" s="1453"/>
      <c r="AL7" s="1453"/>
      <c r="AM7" s="1453"/>
      <c r="AN7" s="1454"/>
      <c r="AO7" s="1457"/>
      <c r="AP7" s="1457"/>
      <c r="AQ7" s="751"/>
      <c r="AR7" s="751"/>
      <c r="AS7" s="751"/>
      <c r="AT7" s="751"/>
      <c r="AU7" s="751"/>
      <c r="AV7" s="751"/>
      <c r="AW7" s="751"/>
      <c r="AX7" s="751"/>
      <c r="AY7" s="751"/>
      <c r="AZ7" s="751"/>
      <c r="BA7" s="751"/>
      <c r="BB7" s="751"/>
      <c r="BC7" s="751"/>
      <c r="BD7" s="751"/>
      <c r="BE7" s="751"/>
      <c r="BF7" s="751"/>
      <c r="BG7" s="751"/>
      <c r="BH7" s="751"/>
      <c r="BI7" s="751"/>
      <c r="BJ7" s="751"/>
      <c r="BK7" s="751"/>
      <c r="BL7" s="751"/>
      <c r="BM7" s="751"/>
      <c r="BN7" s="751"/>
      <c r="BO7" s="751"/>
      <c r="BP7" s="751"/>
      <c r="BQ7" s="751"/>
      <c r="BR7" s="751"/>
      <c r="BS7" s="751"/>
      <c r="BT7" s="751"/>
      <c r="BU7" s="751"/>
      <c r="BV7" s="751"/>
      <c r="BW7" s="751"/>
      <c r="BX7" s="751"/>
      <c r="BY7" s="751"/>
      <c r="BZ7" s="751"/>
      <c r="CA7" s="751"/>
      <c r="CB7" s="751"/>
      <c r="CC7" s="751"/>
      <c r="CD7" s="751"/>
      <c r="CE7" s="751"/>
      <c r="CF7" s="751"/>
      <c r="CG7" s="751"/>
      <c r="CH7" s="751"/>
      <c r="CI7" s="751"/>
      <c r="CJ7" s="751"/>
      <c r="CK7" s="751"/>
      <c r="CL7" s="751"/>
      <c r="CM7" s="751"/>
      <c r="CN7" s="751"/>
      <c r="CO7" s="751"/>
      <c r="CP7" s="751"/>
      <c r="CQ7" s="751"/>
      <c r="CR7" s="751"/>
      <c r="CS7" s="751"/>
      <c r="CT7" s="751"/>
      <c r="CU7" s="751"/>
      <c r="CV7" s="751"/>
      <c r="CW7" s="751"/>
      <c r="CX7" s="751"/>
      <c r="CY7" s="751"/>
      <c r="CZ7" s="751"/>
      <c r="DA7" s="751"/>
      <c r="DB7" s="751"/>
      <c r="DC7" s="751"/>
      <c r="DD7" s="751"/>
      <c r="DE7" s="751"/>
      <c r="DF7" s="751"/>
      <c r="DG7" s="751"/>
      <c r="DH7" s="751"/>
      <c r="DI7" s="751"/>
      <c r="DJ7" s="751"/>
      <c r="DK7" s="751"/>
      <c r="DL7" s="751"/>
      <c r="DM7" s="751"/>
      <c r="DN7" s="751"/>
      <c r="DO7" s="91"/>
      <c r="DS7" s="33"/>
      <c r="DT7" s="27"/>
      <c r="DU7" s="33"/>
      <c r="DX7" s="44"/>
    </row>
    <row r="8" spans="1:128" ht="12.75" customHeight="1">
      <c r="A8" s="54"/>
      <c r="B8" s="67" t="s">
        <v>405</v>
      </c>
      <c r="C8" s="285" t="s">
        <v>27</v>
      </c>
      <c r="D8" s="1057" t="s">
        <v>1161</v>
      </c>
      <c r="E8" s="89"/>
      <c r="F8" s="89"/>
      <c r="G8" s="89"/>
      <c r="H8" s="89"/>
      <c r="I8" s="656"/>
      <c r="J8" s="57"/>
      <c r="K8" s="53">
        <v>1.25</v>
      </c>
      <c r="L8" s="59" t="s">
        <v>33</v>
      </c>
      <c r="M8" s="59">
        <v>1.2</v>
      </c>
      <c r="N8" s="59">
        <v>1.2</v>
      </c>
      <c r="O8" s="59">
        <v>1.1000000000000001</v>
      </c>
      <c r="P8" s="59">
        <v>1</v>
      </c>
      <c r="Q8" s="59">
        <v>1</v>
      </c>
      <c r="R8" s="1087">
        <f>IF($C$11&lt;=0.25,1.2,IF(AND($C$11&gt;0.25,$C$11&lt;=0.5),(1.2-1.2)*($C$11-0.25)/(0.5-0.25)+1.2,IF(AND($C$11&gt;0.5,$C$11&lt;=0.75),(1.1-1.2)*($C$11-0.5)/(0.75-0.5)+1.2,IF(AND($C$11&gt;0.75,$C$11&lt;=1),(1-1.1)*($C$11-0.75)/(1-0.75)+1.1,IF(AND($C$11&gt;1,$C$11&lt;=1.25),(1-1)*($C$11-1)/(1.25-1)+1,1)))))</f>
        <v>1.1544000000000001</v>
      </c>
      <c r="T8" s="325" t="s">
        <v>1096</v>
      </c>
      <c r="U8" s="942" t="s">
        <v>1097</v>
      </c>
      <c r="V8" s="384">
        <v>1</v>
      </c>
      <c r="W8" s="384">
        <v>2.5</v>
      </c>
      <c r="X8" s="33"/>
      <c r="Y8" s="324"/>
      <c r="Z8" s="324"/>
      <c r="AA8" s="751"/>
      <c r="AB8" s="754" t="s">
        <v>506</v>
      </c>
      <c r="AC8" s="755"/>
      <c r="AD8" s="755"/>
      <c r="AE8" s="756"/>
      <c r="AF8" s="766"/>
      <c r="AG8" s="766"/>
      <c r="AH8" s="751"/>
      <c r="AI8" s="1451"/>
      <c r="AJ8" s="1455"/>
      <c r="AK8" s="1453"/>
      <c r="AL8" s="1453"/>
      <c r="AM8" s="1453"/>
      <c r="AN8" s="1454"/>
      <c r="AO8" s="1457"/>
      <c r="AP8" s="1457"/>
      <c r="AQ8" s="751"/>
      <c r="AR8" s="751"/>
      <c r="AS8" s="751"/>
      <c r="AT8" s="751"/>
      <c r="AU8" s="751"/>
      <c r="AV8" s="751"/>
      <c r="AW8" s="751"/>
      <c r="AX8" s="751"/>
      <c r="AY8" s="751"/>
      <c r="AZ8" s="751"/>
      <c r="BA8" s="751"/>
      <c r="BB8" s="751"/>
      <c r="BC8" s="751"/>
      <c r="BD8" s="751"/>
      <c r="BE8" s="751"/>
      <c r="BF8" s="751"/>
      <c r="BG8" s="751"/>
      <c r="BH8" s="751"/>
      <c r="BI8" s="751"/>
      <c r="BJ8" s="751"/>
      <c r="BK8" s="751"/>
      <c r="BL8" s="751"/>
      <c r="BM8" s="751"/>
      <c r="BN8" s="751"/>
      <c r="BO8" s="751"/>
      <c r="BP8" s="751"/>
      <c r="BQ8" s="751"/>
      <c r="BR8" s="751"/>
      <c r="BS8" s="751"/>
      <c r="BT8" s="751"/>
      <c r="BU8" s="751"/>
      <c r="BV8" s="751"/>
      <c r="BW8" s="751"/>
      <c r="BX8" s="751"/>
      <c r="BY8" s="751"/>
      <c r="BZ8" s="751"/>
      <c r="CA8" s="751"/>
      <c r="CB8" s="751"/>
      <c r="CC8" s="751"/>
      <c r="CD8" s="751"/>
      <c r="CE8" s="751"/>
      <c r="CF8" s="751"/>
      <c r="CG8" s="751"/>
      <c r="CH8" s="751"/>
      <c r="CI8" s="751"/>
      <c r="CJ8" s="751"/>
      <c r="CK8" s="751"/>
      <c r="CL8" s="751"/>
      <c r="CM8" s="751"/>
      <c r="CN8" s="751"/>
      <c r="CO8" s="751"/>
      <c r="CP8" s="751"/>
      <c r="CQ8" s="751"/>
      <c r="CR8" s="751"/>
      <c r="CS8" s="751"/>
      <c r="CT8" s="751"/>
      <c r="CU8" s="751"/>
      <c r="CV8" s="751"/>
      <c r="CW8" s="751"/>
      <c r="CX8" s="751"/>
      <c r="CY8" s="751"/>
      <c r="CZ8" s="751"/>
      <c r="DA8" s="751"/>
      <c r="DB8" s="751"/>
      <c r="DC8" s="751"/>
      <c r="DD8" s="751"/>
      <c r="DE8" s="751"/>
      <c r="DF8" s="751"/>
      <c r="DG8" s="751"/>
      <c r="DH8" s="751"/>
      <c r="DI8" s="751"/>
      <c r="DJ8" s="751"/>
      <c r="DK8" s="751"/>
      <c r="DL8" s="751"/>
      <c r="DM8" s="751"/>
      <c r="DN8" s="751"/>
      <c r="DO8" s="91"/>
      <c r="DS8" s="33"/>
      <c r="DT8" s="27"/>
      <c r="DU8" s="33"/>
      <c r="DX8" s="44"/>
    </row>
    <row r="9" spans="1:128" ht="12.75" customHeight="1">
      <c r="A9" s="54"/>
      <c r="B9" s="68" t="s">
        <v>144</v>
      </c>
      <c r="C9" s="2" t="s">
        <v>32</v>
      </c>
      <c r="D9" s="1057" t="s">
        <v>1162</v>
      </c>
      <c r="E9" s="89"/>
      <c r="F9" s="943"/>
      <c r="G9" s="89"/>
      <c r="H9" s="89"/>
      <c r="I9" s="656"/>
      <c r="J9" s="57"/>
      <c r="K9" s="53">
        <v>1.5</v>
      </c>
      <c r="L9" s="59" t="s">
        <v>32</v>
      </c>
      <c r="M9" s="59">
        <v>1.6</v>
      </c>
      <c r="N9" s="59">
        <v>1.4</v>
      </c>
      <c r="O9" s="59">
        <v>1.2</v>
      </c>
      <c r="P9" s="59">
        <v>1.1000000000000001</v>
      </c>
      <c r="Q9" s="59">
        <v>1</v>
      </c>
      <c r="R9" s="1087">
        <f>IF($C$11&lt;=0.25,1.6,IF(AND($C$11&gt;0.25,$C$11&lt;=0.5),(1.4-1.6)*($C$11-0.25)/(0.5-0.25)+1.6,IF(AND($C$11&gt;0.5,$C$11&lt;=0.75),(1.2-1.4)*($C$11-0.5)/(0.75-0.5)+1.4,IF(AND($C$11&gt;0.75,$C$11&lt;=1),(1.1-1.2)*($C$11-0.75)/(1-0.75)+1.2,IF(AND($C$11&gt;1,$C$11&lt;=1.25),(1-1.1)*($C$11-1)/(1.25-1)+1.1,1)))))</f>
        <v>1.3088</v>
      </c>
      <c r="T9" s="325" t="s">
        <v>1098</v>
      </c>
      <c r="U9" s="942" t="s">
        <v>1099</v>
      </c>
      <c r="V9" s="384">
        <v>2.5</v>
      </c>
      <c r="W9" s="384">
        <v>2.5</v>
      </c>
      <c r="X9" s="33"/>
      <c r="Y9" s="324"/>
      <c r="Z9" s="324"/>
      <c r="AA9" s="751"/>
      <c r="AB9" s="1430" t="s">
        <v>507</v>
      </c>
      <c r="AC9" s="1430"/>
      <c r="AD9" s="1430"/>
      <c r="AE9" s="1430"/>
      <c r="AF9" s="1430"/>
      <c r="AG9" s="1430"/>
      <c r="AH9" s="751"/>
      <c r="AI9" s="1451" t="s">
        <v>1100</v>
      </c>
      <c r="AJ9" s="1452" t="s">
        <v>1097</v>
      </c>
      <c r="AK9" s="1453"/>
      <c r="AL9" s="1453"/>
      <c r="AM9" s="1453"/>
      <c r="AN9" s="1454"/>
      <c r="AO9" s="1456">
        <v>1</v>
      </c>
      <c r="AP9" s="1456">
        <v>2.5</v>
      </c>
      <c r="AQ9" s="751"/>
      <c r="AR9" s="751"/>
      <c r="AS9" s="751"/>
      <c r="AT9" s="751"/>
      <c r="AU9" s="751"/>
      <c r="AV9" s="751"/>
      <c r="AW9" s="751"/>
      <c r="AX9" s="751"/>
      <c r="AY9" s="751"/>
      <c r="AZ9" s="751"/>
      <c r="BA9" s="751"/>
      <c r="BB9" s="751"/>
      <c r="BC9" s="751"/>
      <c r="BD9" s="751"/>
      <c r="BE9" s="751"/>
      <c r="BF9" s="751"/>
      <c r="BG9" s="751"/>
      <c r="BH9" s="751"/>
      <c r="BI9" s="751"/>
      <c r="BJ9" s="751"/>
      <c r="BK9" s="751"/>
      <c r="BL9" s="751"/>
      <c r="BM9" s="751"/>
      <c r="BN9" s="751"/>
      <c r="BO9" s="751"/>
      <c r="BP9" s="751"/>
      <c r="BQ9" s="751"/>
      <c r="BR9" s="751"/>
      <c r="BS9" s="751"/>
      <c r="BT9" s="751"/>
      <c r="BU9" s="751"/>
      <c r="BV9" s="751"/>
      <c r="BW9" s="751"/>
      <c r="BX9" s="751"/>
      <c r="BY9" s="751"/>
      <c r="BZ9" s="751"/>
      <c r="CA9" s="751"/>
      <c r="CB9" s="751"/>
      <c r="CC9" s="751"/>
      <c r="CD9" s="751"/>
      <c r="CE9" s="751"/>
      <c r="CF9" s="751"/>
      <c r="CG9" s="751"/>
      <c r="CH9" s="751"/>
      <c r="CI9" s="751"/>
      <c r="CJ9" s="751"/>
      <c r="CK9" s="751"/>
      <c r="CL9" s="751"/>
      <c r="CM9" s="751"/>
      <c r="CN9" s="751"/>
      <c r="CO9" s="751"/>
      <c r="CP9" s="751"/>
      <c r="CQ9" s="751"/>
      <c r="CR9" s="751"/>
      <c r="CS9" s="751"/>
      <c r="CT9" s="751"/>
      <c r="CU9" s="751"/>
      <c r="CV9" s="751"/>
      <c r="CW9" s="751"/>
      <c r="CX9" s="751"/>
      <c r="CY9" s="751"/>
      <c r="CZ9" s="751"/>
      <c r="DA9" s="751"/>
      <c r="DB9" s="751"/>
      <c r="DC9" s="751"/>
      <c r="DD9" s="751"/>
      <c r="DE9" s="751"/>
      <c r="DF9" s="751"/>
      <c r="DG9" s="751"/>
      <c r="DH9" s="751"/>
      <c r="DI9" s="751"/>
      <c r="DJ9" s="751"/>
      <c r="DK9" s="751"/>
      <c r="DL9" s="751"/>
      <c r="DM9" s="751"/>
      <c r="DN9" s="751"/>
      <c r="DO9" s="91"/>
      <c r="DS9" s="33"/>
      <c r="DT9" s="27"/>
      <c r="DU9" s="33"/>
      <c r="DX9" s="44"/>
    </row>
    <row r="10" spans="1:128" ht="12.75" customHeight="1">
      <c r="A10" s="732"/>
      <c r="B10" s="68" t="s">
        <v>42</v>
      </c>
      <c r="C10" s="284"/>
      <c r="D10" s="780" t="s">
        <v>648</v>
      </c>
      <c r="E10" s="89"/>
      <c r="F10" s="943"/>
      <c r="G10" s="89"/>
      <c r="H10" s="89"/>
      <c r="I10" s="656"/>
      <c r="J10" s="57"/>
      <c r="K10" s="44" t="s">
        <v>29</v>
      </c>
      <c r="L10" s="59" t="s">
        <v>35</v>
      </c>
      <c r="M10" s="59">
        <v>2.5</v>
      </c>
      <c r="N10" s="59">
        <v>1.7</v>
      </c>
      <c r="O10" s="59">
        <v>1.2</v>
      </c>
      <c r="P10" s="59">
        <v>0.9</v>
      </c>
      <c r="Q10" s="59">
        <v>0.9</v>
      </c>
      <c r="R10" s="1087">
        <f>IF($C$11&lt;=0.25,2.5,IF(AND($C$11&gt;0.25,$C$11&lt;=0.5),(1.7-2.5)*($C$11-0.25)/(0.5-0.25)+2.5,IF(AND($C$11&gt;0.5,$C$11&lt;=0.75),(1.2-1.7)*($C$11-0.5)/(0.75-0.5)+1.7,IF(AND($C$11&gt;0.75,$C$11&lt;=1),(0.9-1.2)*($C$11-0.75)/(1-0.75)+1.2,IF(AND($C$11&gt;1,$C$11&lt;=1.25),0.9,0.9)))))</f>
        <v>1.472</v>
      </c>
      <c r="T10" s="325" t="s">
        <v>1101</v>
      </c>
      <c r="U10" s="942" t="s">
        <v>1102</v>
      </c>
      <c r="V10" s="384">
        <v>1</v>
      </c>
      <c r="W10" s="384">
        <v>2.5</v>
      </c>
      <c r="X10" s="33"/>
      <c r="Y10" s="324"/>
      <c r="Z10" s="324"/>
      <c r="AA10" s="751"/>
      <c r="AB10" s="760"/>
      <c r="AC10" s="760"/>
      <c r="AD10" s="760"/>
      <c r="AE10" s="760"/>
      <c r="AF10" s="760"/>
      <c r="AG10" s="760"/>
      <c r="AH10" s="751"/>
      <c r="AI10" s="1451"/>
      <c r="AJ10" s="1455"/>
      <c r="AK10" s="1453"/>
      <c r="AL10" s="1453"/>
      <c r="AM10" s="1453"/>
      <c r="AN10" s="1454"/>
      <c r="AO10" s="1457"/>
      <c r="AP10" s="1457"/>
      <c r="AQ10" s="751"/>
      <c r="AR10" s="751"/>
      <c r="AS10" s="751"/>
      <c r="AT10" s="751"/>
      <c r="AU10" s="751"/>
      <c r="AV10" s="751"/>
      <c r="AW10" s="751"/>
      <c r="AX10" s="751"/>
      <c r="AY10" s="751"/>
      <c r="AZ10" s="751"/>
      <c r="BA10" s="751"/>
      <c r="BB10" s="751"/>
      <c r="BC10" s="751"/>
      <c r="BD10" s="751"/>
      <c r="BE10" s="751"/>
      <c r="BF10" s="751"/>
      <c r="BG10" s="751"/>
      <c r="BH10" s="751"/>
      <c r="BI10" s="751"/>
      <c r="BJ10" s="751"/>
      <c r="BK10" s="751"/>
      <c r="BL10" s="751"/>
      <c r="BM10" s="751"/>
      <c r="BN10" s="751"/>
      <c r="BO10" s="751"/>
      <c r="BP10" s="751"/>
      <c r="BQ10" s="751"/>
      <c r="BR10" s="751"/>
      <c r="BS10" s="751"/>
      <c r="BT10" s="751"/>
      <c r="BU10" s="751"/>
      <c r="BV10" s="751"/>
      <c r="BW10" s="751"/>
      <c r="BX10" s="751"/>
      <c r="BY10" s="751"/>
      <c r="BZ10" s="751"/>
      <c r="CA10" s="751"/>
      <c r="CB10" s="751"/>
      <c r="CC10" s="751"/>
      <c r="CD10" s="751"/>
      <c r="CE10" s="751"/>
      <c r="CF10" s="751"/>
      <c r="CG10" s="751"/>
      <c r="CH10" s="751"/>
      <c r="CI10" s="751"/>
      <c r="CJ10" s="751"/>
      <c r="CK10" s="751"/>
      <c r="CL10" s="751"/>
      <c r="CM10" s="751"/>
      <c r="CN10" s="751"/>
      <c r="CO10" s="751"/>
      <c r="CP10" s="751"/>
      <c r="CQ10" s="751"/>
      <c r="CR10" s="751"/>
      <c r="CS10" s="751"/>
      <c r="CT10" s="751"/>
      <c r="CU10" s="751"/>
      <c r="CV10" s="751"/>
      <c r="CW10" s="751"/>
      <c r="CX10" s="751"/>
      <c r="CY10" s="751"/>
      <c r="CZ10" s="751"/>
      <c r="DA10" s="751"/>
      <c r="DB10" s="751"/>
      <c r="DC10" s="751"/>
      <c r="DD10" s="751"/>
      <c r="DE10" s="751"/>
      <c r="DF10" s="751"/>
      <c r="DG10" s="751"/>
      <c r="DH10" s="751"/>
      <c r="DI10" s="751"/>
      <c r="DJ10" s="751"/>
      <c r="DK10" s="751"/>
      <c r="DL10" s="751"/>
      <c r="DM10" s="751"/>
      <c r="DN10" s="751"/>
      <c r="DO10" s="91"/>
      <c r="DS10" s="33"/>
      <c r="DT10" s="27"/>
      <c r="DU10" s="33"/>
      <c r="DX10" s="44"/>
    </row>
    <row r="11" spans="1:128" ht="12.75" customHeight="1">
      <c r="A11" s="734"/>
      <c r="B11" s="68" t="s">
        <v>151</v>
      </c>
      <c r="C11" s="262">
        <v>0.61399999999999999</v>
      </c>
      <c r="D11" s="833" t="s">
        <v>1163</v>
      </c>
      <c r="E11" s="68"/>
      <c r="F11" s="722"/>
      <c r="G11" s="89"/>
      <c r="H11" s="89"/>
      <c r="I11" s="656"/>
      <c r="J11" s="57"/>
      <c r="K11" s="44" t="s">
        <v>31</v>
      </c>
      <c r="L11" s="74" t="s">
        <v>36</v>
      </c>
      <c r="M11" s="74" t="s">
        <v>38</v>
      </c>
      <c r="N11" s="74" t="s">
        <v>38</v>
      </c>
      <c r="O11" s="74" t="s">
        <v>38</v>
      </c>
      <c r="P11" s="74" t="s">
        <v>38</v>
      </c>
      <c r="Q11" s="74" t="s">
        <v>38</v>
      </c>
      <c r="R11" s="1090" t="s">
        <v>38</v>
      </c>
      <c r="T11" s="325" t="s">
        <v>1103</v>
      </c>
      <c r="U11" s="942" t="s">
        <v>1104</v>
      </c>
      <c r="V11" s="384">
        <v>1</v>
      </c>
      <c r="W11" s="384">
        <v>2.5</v>
      </c>
      <c r="X11" s="33"/>
      <c r="Y11" s="324"/>
      <c r="Z11" s="324"/>
      <c r="AA11" s="751"/>
      <c r="AB11" s="762"/>
      <c r="AC11" s="762"/>
      <c r="AD11" s="762"/>
      <c r="AE11" s="762"/>
      <c r="AF11" s="762"/>
      <c r="AG11" s="762"/>
      <c r="AH11" s="751"/>
      <c r="AI11" s="944" t="s">
        <v>1105</v>
      </c>
      <c r="AJ11" s="1448" t="s">
        <v>1099</v>
      </c>
      <c r="AK11" s="1449"/>
      <c r="AL11" s="1449"/>
      <c r="AM11" s="1449"/>
      <c r="AN11" s="1450"/>
      <c r="AO11" s="945">
        <v>2.5</v>
      </c>
      <c r="AP11" s="945">
        <v>2.5</v>
      </c>
      <c r="AQ11" s="751"/>
      <c r="AR11" s="751"/>
      <c r="AS11" s="751"/>
      <c r="AT11" s="751"/>
      <c r="AU11" s="751"/>
      <c r="AV11" s="751"/>
      <c r="AW11" s="751"/>
      <c r="AX11" s="751"/>
      <c r="AY11" s="751"/>
      <c r="AZ11" s="751"/>
      <c r="BA11" s="751"/>
      <c r="BB11" s="751"/>
      <c r="BC11" s="751"/>
      <c r="BD11" s="751"/>
      <c r="BE11" s="751"/>
      <c r="BF11" s="751"/>
      <c r="BG11" s="751"/>
      <c r="BH11" s="751"/>
      <c r="BI11" s="751"/>
      <c r="BJ11" s="751"/>
      <c r="BK11" s="751"/>
      <c r="BL11" s="751"/>
      <c r="BM11" s="751"/>
      <c r="BN11" s="751"/>
      <c r="BO11" s="751"/>
      <c r="BP11" s="751"/>
      <c r="BQ11" s="751"/>
      <c r="BR11" s="751"/>
      <c r="BS11" s="751"/>
      <c r="BT11" s="751"/>
      <c r="BU11" s="751"/>
      <c r="BV11" s="751"/>
      <c r="BW11" s="751"/>
      <c r="BX11" s="751"/>
      <c r="BY11" s="751"/>
      <c r="BZ11" s="751"/>
      <c r="CA11" s="751"/>
      <c r="CB11" s="751"/>
      <c r="CC11" s="751"/>
      <c r="CD11" s="751"/>
      <c r="CE11" s="751"/>
      <c r="CF11" s="751"/>
      <c r="CG11" s="751"/>
      <c r="CH11" s="751"/>
      <c r="CI11" s="751"/>
      <c r="CJ11" s="751"/>
      <c r="CK11" s="751"/>
      <c r="CL11" s="751"/>
      <c r="CM11" s="751"/>
      <c r="CN11" s="751"/>
      <c r="CO11" s="751"/>
      <c r="CP11" s="751"/>
      <c r="CQ11" s="751"/>
      <c r="CR11" s="751"/>
      <c r="CS11" s="751"/>
      <c r="CT11" s="751"/>
      <c r="CU11" s="751"/>
      <c r="CV11" s="751"/>
      <c r="CW11" s="751"/>
      <c r="CX11" s="751"/>
      <c r="CY11" s="751"/>
      <c r="CZ11" s="751"/>
      <c r="DA11" s="751"/>
      <c r="DB11" s="751"/>
      <c r="DC11" s="751"/>
      <c r="DD11" s="751"/>
      <c r="DE11" s="751"/>
      <c r="DF11" s="751"/>
      <c r="DG11" s="751"/>
      <c r="DH11" s="751"/>
      <c r="DI11" s="751"/>
      <c r="DJ11" s="751"/>
      <c r="DK11" s="751"/>
      <c r="DL11" s="751"/>
      <c r="DM11" s="751"/>
      <c r="DN11" s="751"/>
      <c r="DO11" s="91"/>
      <c r="DS11" s="33"/>
      <c r="DT11" s="27"/>
      <c r="DU11" s="33"/>
      <c r="DX11" s="44"/>
    </row>
    <row r="12" spans="1:128" ht="12.75" customHeight="1">
      <c r="A12" s="696"/>
      <c r="B12" s="68" t="s">
        <v>152</v>
      </c>
      <c r="C12" s="262">
        <v>0.27800000000000002</v>
      </c>
      <c r="D12" s="833" t="s">
        <v>1164</v>
      </c>
      <c r="E12" s="68"/>
      <c r="F12" s="722"/>
      <c r="G12" s="33"/>
      <c r="H12" s="89"/>
      <c r="I12" s="66"/>
      <c r="J12" s="57"/>
      <c r="K12" s="44" t="s">
        <v>33</v>
      </c>
      <c r="O12" s="77"/>
      <c r="P12" s="27"/>
      <c r="T12" s="325" t="s">
        <v>1106</v>
      </c>
      <c r="U12" s="942" t="s">
        <v>1107</v>
      </c>
      <c r="V12" s="384">
        <v>2.5</v>
      </c>
      <c r="W12" s="384">
        <v>6</v>
      </c>
      <c r="X12" s="33"/>
      <c r="Y12" s="324"/>
      <c r="Z12" s="324"/>
      <c r="AA12" s="33"/>
      <c r="AB12" s="760"/>
      <c r="AC12" s="760"/>
      <c r="AD12" s="760"/>
      <c r="AE12" s="760"/>
      <c r="AF12" s="760"/>
      <c r="AG12" s="760"/>
      <c r="AH12" s="33"/>
      <c r="AI12" s="946" t="s">
        <v>1108</v>
      </c>
      <c r="AJ12" s="1436" t="s">
        <v>1102</v>
      </c>
      <c r="AK12" s="1437"/>
      <c r="AL12" s="1437"/>
      <c r="AM12" s="1437"/>
      <c r="AN12" s="1438"/>
      <c r="AO12" s="945">
        <v>1</v>
      </c>
      <c r="AP12" s="945">
        <v>2.5</v>
      </c>
      <c r="AQ12" s="711"/>
      <c r="AR12" s="711"/>
      <c r="AS12" s="711"/>
      <c r="AT12" s="711"/>
      <c r="AU12" s="711"/>
      <c r="AV12" s="711"/>
      <c r="AW12" s="711"/>
      <c r="AX12" s="711"/>
      <c r="AY12" s="711"/>
      <c r="AZ12" s="711"/>
      <c r="BA12" s="711"/>
      <c r="BB12" s="711"/>
      <c r="BC12" s="711"/>
      <c r="BD12" s="711"/>
      <c r="BE12" s="711"/>
      <c r="BF12" s="711"/>
      <c r="BG12" s="711"/>
      <c r="BH12" s="711"/>
      <c r="BI12" s="711"/>
      <c r="BJ12" s="711"/>
      <c r="BK12" s="711"/>
      <c r="BL12" s="711"/>
      <c r="BM12" s="711"/>
      <c r="BN12" s="711"/>
      <c r="BO12" s="711"/>
      <c r="BP12" s="751"/>
      <c r="BQ12" s="751"/>
      <c r="BR12" s="751"/>
      <c r="BS12" s="751"/>
      <c r="BT12" s="751"/>
      <c r="BU12" s="751"/>
      <c r="BV12" s="751"/>
      <c r="BW12" s="751"/>
      <c r="BX12" s="751"/>
      <c r="BY12" s="751"/>
      <c r="BZ12" s="751"/>
      <c r="CA12" s="751"/>
      <c r="CB12" s="751"/>
      <c r="CC12" s="751"/>
      <c r="CD12" s="751"/>
      <c r="CE12" s="751"/>
      <c r="CF12" s="751"/>
      <c r="CG12" s="751"/>
      <c r="CH12" s="751"/>
      <c r="CI12" s="751"/>
      <c r="CJ12" s="751"/>
      <c r="CK12" s="751"/>
      <c r="CL12" s="751"/>
      <c r="CM12" s="751"/>
      <c r="CN12" s="751"/>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91"/>
      <c r="DS12" s="33"/>
      <c r="DT12" s="27"/>
      <c r="DU12" s="33"/>
      <c r="DX12" s="44"/>
    </row>
    <row r="13" spans="1:128" ht="12.75" customHeight="1">
      <c r="A13" s="54"/>
      <c r="B13" s="68" t="s">
        <v>1018</v>
      </c>
      <c r="C13" s="262">
        <v>40</v>
      </c>
      <c r="D13" s="852" t="s">
        <v>54</v>
      </c>
      <c r="E13" s="68"/>
      <c r="F13" s="722"/>
      <c r="G13" s="38"/>
      <c r="H13" s="89"/>
      <c r="I13" s="66"/>
      <c r="J13" s="57"/>
      <c r="K13" s="44" t="s">
        <v>32</v>
      </c>
      <c r="L13" s="270" t="s">
        <v>1200</v>
      </c>
      <c r="M13" s="36"/>
      <c r="N13" s="36"/>
      <c r="O13" s="36"/>
      <c r="P13" s="36"/>
      <c r="Q13" s="37"/>
      <c r="R13" s="38"/>
      <c r="T13" s="325" t="s">
        <v>1109</v>
      </c>
      <c r="U13" s="942" t="s">
        <v>1110</v>
      </c>
      <c r="V13" s="384">
        <v>1</v>
      </c>
      <c r="W13" s="384">
        <v>2.5</v>
      </c>
      <c r="X13" s="33"/>
      <c r="Y13" s="324"/>
      <c r="Z13" s="324"/>
      <c r="AA13" s="33"/>
      <c r="AB13" s="760"/>
      <c r="AC13" s="760"/>
      <c r="AD13" s="760"/>
      <c r="AE13" s="760"/>
      <c r="AF13" s="760"/>
      <c r="AG13" s="760"/>
      <c r="AH13" s="33"/>
      <c r="AI13" s="1440" t="s">
        <v>1111</v>
      </c>
      <c r="AJ13" s="1452" t="s">
        <v>1104</v>
      </c>
      <c r="AK13" s="1453"/>
      <c r="AL13" s="1453"/>
      <c r="AM13" s="1453"/>
      <c r="AN13" s="1454"/>
      <c r="AO13" s="1456">
        <v>1</v>
      </c>
      <c r="AP13" s="1456">
        <v>2.5</v>
      </c>
      <c r="AQ13" s="711"/>
      <c r="AR13" s="711"/>
      <c r="AS13" s="711"/>
      <c r="AT13" s="711"/>
      <c r="AU13" s="711"/>
      <c r="AV13" s="711"/>
      <c r="AW13" s="711"/>
      <c r="AX13" s="711"/>
      <c r="AY13" s="711"/>
      <c r="AZ13" s="711"/>
      <c r="BA13" s="711"/>
      <c r="BB13" s="711"/>
      <c r="BC13" s="711"/>
      <c r="BD13" s="711"/>
      <c r="BE13" s="711"/>
      <c r="BF13" s="711"/>
      <c r="BG13" s="711"/>
      <c r="BH13" s="711"/>
      <c r="BI13" s="711"/>
      <c r="BJ13" s="711"/>
      <c r="BK13" s="711"/>
      <c r="BL13" s="711"/>
      <c r="BM13" s="711"/>
      <c r="BN13" s="711"/>
      <c r="BO13" s="711"/>
      <c r="BP13" s="751"/>
      <c r="BQ13" s="751"/>
      <c r="BR13" s="751"/>
      <c r="BS13" s="751"/>
      <c r="BT13" s="751"/>
      <c r="BU13" s="751"/>
      <c r="BV13" s="751"/>
      <c r="BW13" s="751"/>
      <c r="BX13" s="751"/>
      <c r="BY13" s="751"/>
      <c r="BZ13" s="751"/>
      <c r="CA13" s="751"/>
      <c r="CB13" s="751"/>
      <c r="CC13" s="751"/>
      <c r="CD13" s="751"/>
      <c r="CE13" s="751"/>
      <c r="CF13" s="751"/>
      <c r="CG13" s="751"/>
      <c r="CH13" s="751"/>
      <c r="CI13" s="751"/>
      <c r="CJ13" s="751"/>
      <c r="CK13" s="751"/>
      <c r="CL13" s="751"/>
      <c r="CM13" s="751"/>
      <c r="CN13" s="751"/>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91"/>
      <c r="DS13" s="33"/>
      <c r="DT13" s="27"/>
      <c r="DU13" s="33"/>
      <c r="DX13" s="44"/>
    </row>
    <row r="14" spans="1:128" ht="12.75" customHeight="1">
      <c r="A14" s="696"/>
      <c r="B14" s="68" t="s">
        <v>1023</v>
      </c>
      <c r="C14" s="262">
        <v>27.312999999999999</v>
      </c>
      <c r="D14" s="852" t="s">
        <v>54</v>
      </c>
      <c r="E14" s="947"/>
      <c r="F14" s="947"/>
      <c r="G14" s="89"/>
      <c r="H14" s="89"/>
      <c r="I14" s="656"/>
      <c r="J14" s="57"/>
      <c r="K14" s="44" t="s">
        <v>35</v>
      </c>
      <c r="L14" s="41" t="s">
        <v>146</v>
      </c>
      <c r="M14" s="42"/>
      <c r="N14" s="42"/>
      <c r="O14" s="42"/>
      <c r="P14" s="42"/>
      <c r="Q14" s="43"/>
      <c r="R14" s="38"/>
      <c r="T14" s="325" t="s">
        <v>1112</v>
      </c>
      <c r="U14" s="942" t="s">
        <v>1113</v>
      </c>
      <c r="V14" s="384">
        <v>2.5</v>
      </c>
      <c r="W14" s="384">
        <v>3</v>
      </c>
      <c r="X14" s="33"/>
      <c r="Y14" s="324"/>
      <c r="Z14" s="324"/>
      <c r="AA14" s="33"/>
      <c r="AB14" s="760"/>
      <c r="AC14" s="760"/>
      <c r="AD14" s="761"/>
      <c r="AE14" s="761"/>
      <c r="AF14" s="761"/>
      <c r="AG14" s="761"/>
      <c r="AH14" s="948"/>
      <c r="AI14" s="1458"/>
      <c r="AJ14" s="1455"/>
      <c r="AK14" s="1453"/>
      <c r="AL14" s="1453"/>
      <c r="AM14" s="1453"/>
      <c r="AN14" s="1454"/>
      <c r="AO14" s="1457"/>
      <c r="AP14" s="1457"/>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751"/>
      <c r="BQ14" s="751"/>
      <c r="BR14" s="751"/>
      <c r="BS14" s="751"/>
      <c r="BT14" s="751"/>
      <c r="BU14" s="751"/>
      <c r="BV14" s="751"/>
      <c r="BW14" s="751"/>
      <c r="BX14" s="751"/>
      <c r="BY14" s="751"/>
      <c r="BZ14" s="751"/>
      <c r="CA14" s="751"/>
      <c r="CB14" s="751"/>
      <c r="CC14" s="751"/>
      <c r="CD14" s="751"/>
      <c r="CE14" s="751"/>
      <c r="CF14" s="751"/>
      <c r="CG14" s="751"/>
      <c r="CH14" s="751"/>
      <c r="CI14" s="751"/>
      <c r="CJ14" s="751"/>
      <c r="CK14" s="751"/>
      <c r="CL14" s="751"/>
      <c r="CM14" s="751"/>
      <c r="CN14" s="751"/>
      <c r="CO14" s="751"/>
      <c r="CP14" s="751"/>
      <c r="CQ14" s="751"/>
      <c r="CR14" s="751"/>
      <c r="CS14" s="751"/>
      <c r="CT14" s="751"/>
      <c r="CU14" s="751"/>
      <c r="CV14" s="751"/>
      <c r="CW14" s="751"/>
      <c r="CX14" s="751"/>
      <c r="CY14" s="751"/>
      <c r="CZ14" s="751"/>
      <c r="DA14" s="751"/>
      <c r="DB14" s="751"/>
      <c r="DC14" s="751"/>
      <c r="DD14" s="751"/>
      <c r="DE14" s="751"/>
      <c r="DF14" s="751"/>
      <c r="DG14" s="751"/>
      <c r="DH14" s="751"/>
      <c r="DI14" s="751"/>
      <c r="DJ14" s="751"/>
      <c r="DK14" s="751"/>
      <c r="DL14" s="751"/>
      <c r="DM14" s="751"/>
      <c r="DN14" s="33"/>
      <c r="DO14" s="91"/>
      <c r="DS14" s="33"/>
      <c r="DT14" s="27"/>
      <c r="DU14" s="33"/>
      <c r="DX14" s="44"/>
    </row>
    <row r="15" spans="1:128" ht="12.75" customHeight="1">
      <c r="A15" s="696"/>
      <c r="B15" s="68" t="s">
        <v>1027</v>
      </c>
      <c r="C15" s="264">
        <v>1</v>
      </c>
      <c r="D15" s="1058" t="s">
        <v>1165</v>
      </c>
      <c r="E15" s="89"/>
      <c r="F15" s="89"/>
      <c r="G15" s="89"/>
      <c r="H15" s="89"/>
      <c r="I15" s="682"/>
      <c r="J15" s="57"/>
      <c r="K15" s="44" t="s">
        <v>36</v>
      </c>
      <c r="L15" s="45" t="s">
        <v>37</v>
      </c>
      <c r="M15" s="46" t="s">
        <v>64</v>
      </c>
      <c r="N15" s="46" t="s">
        <v>65</v>
      </c>
      <c r="O15" s="46" t="s">
        <v>66</v>
      </c>
      <c r="P15" s="46" t="s">
        <v>67</v>
      </c>
      <c r="Q15" s="46" t="s">
        <v>68</v>
      </c>
      <c r="R15" s="25" t="s">
        <v>56</v>
      </c>
      <c r="T15" s="325" t="s">
        <v>1114</v>
      </c>
      <c r="U15" s="942" t="s">
        <v>1115</v>
      </c>
      <c r="V15" s="384">
        <v>1</v>
      </c>
      <c r="W15" s="384">
        <v>2.5</v>
      </c>
      <c r="X15" s="725"/>
      <c r="Y15" s="324"/>
      <c r="Z15" s="324"/>
      <c r="AA15" s="33"/>
      <c r="AB15" s="764"/>
      <c r="AC15" s="764"/>
      <c r="AD15" s="765"/>
      <c r="AE15" s="765"/>
      <c r="AF15" s="765"/>
      <c r="AG15" s="765"/>
      <c r="AH15" s="33"/>
      <c r="AI15" s="1440" t="s">
        <v>1116</v>
      </c>
      <c r="AJ15" s="1452" t="s">
        <v>1107</v>
      </c>
      <c r="AK15" s="1453"/>
      <c r="AL15" s="1453"/>
      <c r="AM15" s="1453"/>
      <c r="AN15" s="1454"/>
      <c r="AO15" s="1456">
        <v>2.5</v>
      </c>
      <c r="AP15" s="1456">
        <v>6</v>
      </c>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91"/>
      <c r="DS15" s="33"/>
      <c r="DT15" s="27"/>
      <c r="DU15" s="33"/>
      <c r="DX15" s="44"/>
    </row>
    <row r="16" spans="1:128" ht="12.75" customHeight="1">
      <c r="A16" s="696"/>
      <c r="B16" s="68" t="s">
        <v>1031</v>
      </c>
      <c r="C16" s="264">
        <v>300</v>
      </c>
      <c r="D16" s="852" t="s">
        <v>1166</v>
      </c>
      <c r="E16" s="89"/>
      <c r="F16" s="89"/>
      <c r="G16" s="89"/>
      <c r="H16" s="89"/>
      <c r="I16" s="682"/>
      <c r="J16" s="57"/>
      <c r="K16" s="60">
        <v>1</v>
      </c>
      <c r="L16" s="52" t="s">
        <v>29</v>
      </c>
      <c r="M16" s="92">
        <v>0.8</v>
      </c>
      <c r="N16" s="92">
        <v>0.8</v>
      </c>
      <c r="O16" s="92">
        <v>0.8</v>
      </c>
      <c r="P16" s="92">
        <v>0.8</v>
      </c>
      <c r="Q16" s="92">
        <v>0.8</v>
      </c>
      <c r="R16" s="1083">
        <v>0.8</v>
      </c>
      <c r="T16" s="360" t="s">
        <v>1117</v>
      </c>
      <c r="U16" s="949" t="s">
        <v>1118</v>
      </c>
      <c r="V16" s="950">
        <v>1</v>
      </c>
      <c r="W16" s="950">
        <v>1.5</v>
      </c>
      <c r="X16" s="725"/>
      <c r="Y16" s="324"/>
      <c r="Z16" s="324"/>
      <c r="AA16" s="33"/>
      <c r="AB16" s="764"/>
      <c r="AC16" s="764"/>
      <c r="AD16" s="765"/>
      <c r="AE16" s="765"/>
      <c r="AF16" s="765"/>
      <c r="AG16" s="765"/>
      <c r="AH16" s="33"/>
      <c r="AI16" s="1440"/>
      <c r="AJ16" s="1455"/>
      <c r="AK16" s="1453"/>
      <c r="AL16" s="1453"/>
      <c r="AM16" s="1453"/>
      <c r="AN16" s="1454"/>
      <c r="AO16" s="1457"/>
      <c r="AP16" s="1457"/>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91"/>
      <c r="DS16" s="33"/>
      <c r="DT16" s="27"/>
      <c r="DU16" s="33"/>
      <c r="DX16" s="44"/>
    </row>
    <row r="17" spans="1:128" ht="12.75" customHeight="1">
      <c r="A17" s="696"/>
      <c r="B17" s="234" t="s">
        <v>1035</v>
      </c>
      <c r="C17" s="292" t="s">
        <v>1119</v>
      </c>
      <c r="D17" s="1373" t="str">
        <f>VLOOKUP($C$17,$T$6:$W$34,2,FALSE)&amp;" (ASCE 7-05 Table 13.6-1)"</f>
        <v>Other mechanical or electrical components (ASCE 7-05 Table 13.6-1)</v>
      </c>
      <c r="E17" s="1427"/>
      <c r="F17" s="1427"/>
      <c r="G17" s="1427"/>
      <c r="H17" s="1427"/>
      <c r="I17" s="1428"/>
      <c r="J17" s="57"/>
      <c r="K17" s="60">
        <v>1.5</v>
      </c>
      <c r="L17" s="59" t="s">
        <v>31</v>
      </c>
      <c r="M17" s="93">
        <v>1</v>
      </c>
      <c r="N17" s="93">
        <v>1</v>
      </c>
      <c r="O17" s="93">
        <v>1</v>
      </c>
      <c r="P17" s="93">
        <v>1</v>
      </c>
      <c r="Q17" s="93">
        <v>1</v>
      </c>
      <c r="R17" s="1083">
        <v>1</v>
      </c>
      <c r="T17" s="360" t="s">
        <v>1119</v>
      </c>
      <c r="U17" s="949" t="s">
        <v>1120</v>
      </c>
      <c r="V17" s="951">
        <v>1</v>
      </c>
      <c r="W17" s="951">
        <v>1.5</v>
      </c>
      <c r="X17" s="725"/>
      <c r="Y17" s="324"/>
      <c r="Z17" s="324"/>
      <c r="AA17" s="33"/>
      <c r="AB17" s="754"/>
      <c r="AC17" s="755"/>
      <c r="AD17" s="755"/>
      <c r="AE17" s="756"/>
      <c r="AF17" s="766"/>
      <c r="AG17" s="766"/>
      <c r="AH17" s="33"/>
      <c r="AI17" s="946" t="s">
        <v>1121</v>
      </c>
      <c r="AJ17" s="1448" t="s">
        <v>1110</v>
      </c>
      <c r="AK17" s="1449"/>
      <c r="AL17" s="1449"/>
      <c r="AM17" s="1449"/>
      <c r="AN17" s="1450"/>
      <c r="AO17" s="945">
        <v>1</v>
      </c>
      <c r="AP17" s="945">
        <v>2.5</v>
      </c>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91"/>
      <c r="DS17" s="33"/>
      <c r="DT17" s="27"/>
      <c r="DU17" s="33"/>
      <c r="DX17" s="44"/>
    </row>
    <row r="18" spans="1:128" ht="12.75" customHeight="1">
      <c r="A18" s="696"/>
      <c r="B18" s="89"/>
      <c r="C18" s="89"/>
      <c r="D18" s="1427"/>
      <c r="E18" s="1427"/>
      <c r="F18" s="1427"/>
      <c r="G18" s="1427"/>
      <c r="H18" s="1427"/>
      <c r="I18" s="1428"/>
      <c r="J18" s="57"/>
      <c r="K18" s="27" t="s">
        <v>997</v>
      </c>
      <c r="L18" s="59" t="s">
        <v>33</v>
      </c>
      <c r="M18" s="93">
        <v>1.7</v>
      </c>
      <c r="N18" s="93">
        <v>1.6</v>
      </c>
      <c r="O18" s="93">
        <v>1.5</v>
      </c>
      <c r="P18" s="93">
        <v>1.4</v>
      </c>
      <c r="Q18" s="93">
        <v>1.3</v>
      </c>
      <c r="R18" s="1087">
        <f>IF($C$12&lt;=0.1,1.7,IF(AND($C$12&gt;0.1,$C$12&lt;=0.2),(1.6-1.7)*($C$12-0.1)/(0.2-0.1)+1.7,IF(AND($C$12&gt;0.2,$C$12&lt;=0.3),(1.5-1.6)*($C$12-0.2)/(0.3-0.2)+1.6,IF(AND($C$12&gt;0.3,$C$12&lt;=0.4),(1.4-1.5)*($C$12-0.3)/(0.4-0.3)+1.5,IF(AND($C$12&gt;0.4,$C$12&lt;=0.5),(1.3-1.4)*($C$12-0.4)/(0.5-0.4)+1.4,1.3)))))</f>
        <v>1.522</v>
      </c>
      <c r="T18" s="952" t="s">
        <v>1122</v>
      </c>
      <c r="U18" s="953" t="s">
        <v>1123</v>
      </c>
      <c r="V18" s="146"/>
      <c r="W18" s="146"/>
      <c r="X18" s="725"/>
      <c r="Y18" s="324"/>
      <c r="Z18" s="324"/>
      <c r="AA18" s="33"/>
      <c r="AB18" s="1041"/>
      <c r="AC18" s="1250"/>
      <c r="AD18" s="1250"/>
      <c r="AE18" s="1250"/>
      <c r="AF18" s="1250"/>
      <c r="AG18" s="1250"/>
      <c r="AH18" s="33"/>
      <c r="AI18" s="946" t="s">
        <v>1124</v>
      </c>
      <c r="AJ18" s="1448" t="s">
        <v>1113</v>
      </c>
      <c r="AK18" s="1449"/>
      <c r="AL18" s="1449"/>
      <c r="AM18" s="1449"/>
      <c r="AN18" s="1450"/>
      <c r="AO18" s="945">
        <v>2.5</v>
      </c>
      <c r="AP18" s="945">
        <v>3</v>
      </c>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57"/>
      <c r="DP18" s="33"/>
      <c r="DQ18" s="33"/>
      <c r="DR18" s="33"/>
      <c r="DS18" s="33"/>
      <c r="DT18" s="27"/>
      <c r="DU18" s="33"/>
      <c r="DX18" s="44"/>
    </row>
    <row r="19" spans="1:128" ht="12.75" customHeight="1">
      <c r="A19" s="696"/>
      <c r="B19" s="89"/>
      <c r="C19" s="89"/>
      <c r="D19" s="1427"/>
      <c r="E19" s="1427"/>
      <c r="F19" s="1427"/>
      <c r="G19" s="1427"/>
      <c r="H19" s="1427"/>
      <c r="I19" s="1428"/>
      <c r="J19" s="91"/>
      <c r="K19" s="27" t="s">
        <v>1000</v>
      </c>
      <c r="L19" s="59" t="s">
        <v>32</v>
      </c>
      <c r="M19" s="93">
        <v>2.4</v>
      </c>
      <c r="N19" s="93">
        <v>2</v>
      </c>
      <c r="O19" s="93">
        <v>1.8</v>
      </c>
      <c r="P19" s="93">
        <v>1.6</v>
      </c>
      <c r="Q19" s="93">
        <v>1.5</v>
      </c>
      <c r="R19" s="1087">
        <f>IF($C$12&lt;=0.1,2.4,IF(AND($C$12&gt;0.1,$C$12&lt;=0.2),(2-2.4)*($C$12-0.1)/(0.2-0.1)+2.4,IF(AND($C$12&gt;0.2,$C$12&lt;=0.3),(1.8-2)*($C$12-0.2)/(0.3-0.2)+2,IF(AND($C$12&gt;0.3,$C$12&lt;=0.4),(1.6-1.8)*($C$12-0.3)/(0.4-0.3)+1.8,IF(AND($C$12&gt;0.4,$C$12&lt;=0.5),(1.5-1.6)*($C$12-0.4)/(0.5-0.4)+1.6,1.5)))))</f>
        <v>1.8439999999999999</v>
      </c>
      <c r="T19" s="340" t="s">
        <v>1003</v>
      </c>
      <c r="U19" s="954" t="s">
        <v>1125</v>
      </c>
      <c r="V19" s="469">
        <v>2.5</v>
      </c>
      <c r="W19" s="469">
        <v>2.5</v>
      </c>
      <c r="X19" s="725"/>
      <c r="Y19" s="324"/>
      <c r="Z19" s="324"/>
      <c r="AA19" s="751"/>
      <c r="AB19" s="758"/>
      <c r="AC19" s="758"/>
      <c r="AD19" s="758"/>
      <c r="AE19" s="758"/>
      <c r="AF19" s="758"/>
      <c r="AG19" s="758"/>
      <c r="AH19" s="751"/>
      <c r="AI19" s="944" t="s">
        <v>1126</v>
      </c>
      <c r="AJ19" s="1448" t="s">
        <v>1115</v>
      </c>
      <c r="AK19" s="1449"/>
      <c r="AL19" s="1449"/>
      <c r="AM19" s="1449"/>
      <c r="AN19" s="1450"/>
      <c r="AO19" s="945">
        <v>1</v>
      </c>
      <c r="AP19" s="945">
        <v>2.5</v>
      </c>
      <c r="AQ19" s="751"/>
      <c r="AR19" s="751"/>
      <c r="AS19" s="751"/>
      <c r="AT19" s="751"/>
      <c r="AU19" s="751"/>
      <c r="AV19" s="751"/>
      <c r="AW19" s="751"/>
      <c r="AX19" s="751"/>
      <c r="AY19" s="751"/>
      <c r="AZ19" s="751"/>
      <c r="BA19" s="751"/>
      <c r="BB19" s="751"/>
      <c r="BC19" s="751"/>
      <c r="BD19" s="751"/>
      <c r="BE19" s="751"/>
      <c r="BF19" s="751"/>
      <c r="BG19" s="751"/>
      <c r="BH19" s="751"/>
      <c r="BI19" s="751"/>
      <c r="BJ19" s="751"/>
      <c r="BK19" s="751"/>
      <c r="BL19" s="751"/>
      <c r="BM19" s="751"/>
      <c r="BN19" s="751"/>
      <c r="BO19" s="751"/>
      <c r="BP19" s="33"/>
      <c r="BQ19" s="751"/>
      <c r="BR19" s="751"/>
      <c r="BS19" s="751"/>
      <c r="BT19" s="751"/>
      <c r="BU19" s="751"/>
      <c r="BV19" s="751"/>
      <c r="BW19" s="751"/>
      <c r="BX19" s="751"/>
      <c r="BY19" s="751"/>
      <c r="BZ19" s="751"/>
      <c r="CA19" s="751"/>
      <c r="CB19" s="751"/>
      <c r="CC19" s="751"/>
      <c r="CD19" s="751"/>
      <c r="CE19" s="751"/>
      <c r="CF19" s="751"/>
      <c r="CG19" s="751"/>
      <c r="CH19" s="751"/>
      <c r="CI19" s="751"/>
      <c r="CJ19" s="751"/>
      <c r="CK19" s="751"/>
      <c r="CL19" s="751"/>
      <c r="CM19" s="751"/>
      <c r="CN19" s="751"/>
      <c r="CO19" s="751"/>
      <c r="CP19" s="751"/>
      <c r="CQ19" s="751"/>
      <c r="CR19" s="751"/>
      <c r="CS19" s="751"/>
      <c r="CT19" s="751"/>
      <c r="CU19" s="751"/>
      <c r="CV19" s="751"/>
      <c r="CW19" s="751"/>
      <c r="CX19" s="751"/>
      <c r="CY19" s="751"/>
      <c r="CZ19" s="751"/>
      <c r="DA19" s="751"/>
      <c r="DB19" s="751"/>
      <c r="DC19" s="751"/>
      <c r="DD19" s="751"/>
      <c r="DE19" s="751"/>
      <c r="DF19" s="751"/>
      <c r="DG19" s="751"/>
      <c r="DH19" s="751"/>
      <c r="DI19" s="751"/>
      <c r="DJ19" s="751"/>
      <c r="DK19" s="751"/>
      <c r="DL19" s="751"/>
      <c r="DM19" s="751"/>
      <c r="DN19" s="751"/>
      <c r="DO19" s="57"/>
      <c r="DP19" s="33"/>
      <c r="DQ19" s="33"/>
      <c r="DR19" s="33"/>
      <c r="DS19" s="33"/>
      <c r="DT19" s="27"/>
      <c r="DU19" s="33"/>
      <c r="DX19" s="44"/>
    </row>
    <row r="20" spans="1:128" ht="12.75" customHeight="1">
      <c r="A20" s="696"/>
      <c r="B20" s="89"/>
      <c r="C20" s="38"/>
      <c r="D20" s="1427"/>
      <c r="E20" s="1427"/>
      <c r="F20" s="1427"/>
      <c r="G20" s="1427"/>
      <c r="H20" s="1427"/>
      <c r="I20" s="1428"/>
      <c r="J20" s="91"/>
      <c r="K20" s="27" t="s">
        <v>1096</v>
      </c>
      <c r="L20" s="59" t="s">
        <v>35</v>
      </c>
      <c r="M20" s="93">
        <v>3.5</v>
      </c>
      <c r="N20" s="93">
        <v>3.2</v>
      </c>
      <c r="O20" s="93">
        <v>2.8</v>
      </c>
      <c r="P20" s="93">
        <v>2.4</v>
      </c>
      <c r="Q20" s="93">
        <v>2.4</v>
      </c>
      <c r="R20" s="1087">
        <f>IF($C$12&lt;=0.1,3.5,IF(AND($C$12&gt;0.1,$C$12&lt;=0.2),(3.2-3.5)*($C$12-0.1)/(0.2-0.1)+3.5,IF(AND($C$12&gt;0.2,$C$12&lt;=0.3),(2.8-3.2)*($C$12-0.2)/(0.3-0.2)+3.2,IF(AND($C$12&gt;0.3,$C$12&lt;=0.4),(2.4-2.8)*($C$12-0.3)/(0.4-0.3)+2.8,IF(AND($C$12&gt;0.4,$C$12&lt;=0.5),2.4,2.4)))))</f>
        <v>2.8879999999999999</v>
      </c>
      <c r="T20" s="325" t="s">
        <v>1006</v>
      </c>
      <c r="U20" s="942" t="s">
        <v>1127</v>
      </c>
      <c r="V20" s="384">
        <v>2.5</v>
      </c>
      <c r="W20" s="384">
        <v>2</v>
      </c>
      <c r="X20" s="33"/>
      <c r="Y20" s="324"/>
      <c r="Z20" s="324"/>
      <c r="AA20" s="751"/>
      <c r="AB20" s="1251"/>
      <c r="AC20" s="33"/>
      <c r="AD20" s="33"/>
      <c r="AE20" s="33"/>
      <c r="AF20" s="33"/>
      <c r="AH20" s="751"/>
      <c r="AI20" s="944" t="s">
        <v>1128</v>
      </c>
      <c r="AJ20" s="1448" t="s">
        <v>1118</v>
      </c>
      <c r="AK20" s="1449"/>
      <c r="AL20" s="1449"/>
      <c r="AM20" s="1449"/>
      <c r="AN20" s="1450"/>
      <c r="AO20" s="955">
        <v>1</v>
      </c>
      <c r="AP20" s="945">
        <v>1.5</v>
      </c>
      <c r="AQ20" s="751"/>
      <c r="AR20" s="751"/>
      <c r="AS20" s="751"/>
      <c r="AT20" s="751"/>
      <c r="AU20" s="751"/>
      <c r="AV20" s="751"/>
      <c r="AW20" s="751"/>
      <c r="AX20" s="751"/>
      <c r="AY20" s="751"/>
      <c r="AZ20" s="751"/>
      <c r="BA20" s="751"/>
      <c r="BB20" s="751"/>
      <c r="BC20" s="751"/>
      <c r="BD20" s="751"/>
      <c r="BE20" s="751"/>
      <c r="BF20" s="751"/>
      <c r="BG20" s="751"/>
      <c r="BH20" s="751"/>
      <c r="BI20" s="751"/>
      <c r="BJ20" s="751"/>
      <c r="BK20" s="751"/>
      <c r="BL20" s="751"/>
      <c r="BM20" s="751"/>
      <c r="BN20" s="751"/>
      <c r="BO20" s="751"/>
      <c r="BP20" s="33"/>
      <c r="BQ20" s="751"/>
      <c r="BR20" s="751"/>
      <c r="BS20" s="751"/>
      <c r="BT20" s="751"/>
      <c r="BU20" s="751"/>
      <c r="BV20" s="751"/>
      <c r="BW20" s="751"/>
      <c r="BX20" s="751"/>
      <c r="BY20" s="751"/>
      <c r="BZ20" s="751"/>
      <c r="CA20" s="751"/>
      <c r="CB20" s="751"/>
      <c r="CC20" s="751"/>
      <c r="CD20" s="751"/>
      <c r="CE20" s="751"/>
      <c r="CF20" s="751"/>
      <c r="CG20" s="751"/>
      <c r="CH20" s="751"/>
      <c r="CI20" s="751"/>
      <c r="CJ20" s="751"/>
      <c r="CK20" s="751"/>
      <c r="CL20" s="751"/>
      <c r="CM20" s="751"/>
      <c r="CN20" s="751"/>
      <c r="CO20" s="751"/>
      <c r="CP20" s="751"/>
      <c r="CQ20" s="751"/>
      <c r="CR20" s="751"/>
      <c r="CS20" s="751"/>
      <c r="CT20" s="751"/>
      <c r="CU20" s="751"/>
      <c r="CV20" s="751"/>
      <c r="CW20" s="751"/>
      <c r="CX20" s="751"/>
      <c r="CY20" s="751"/>
      <c r="CZ20" s="751"/>
      <c r="DA20" s="751"/>
      <c r="DB20" s="751"/>
      <c r="DC20" s="751"/>
      <c r="DD20" s="751"/>
      <c r="DE20" s="751"/>
      <c r="DF20" s="751"/>
      <c r="DG20" s="751"/>
      <c r="DH20" s="751"/>
      <c r="DI20" s="751"/>
      <c r="DJ20" s="751"/>
      <c r="DK20" s="751"/>
      <c r="DL20" s="751"/>
      <c r="DM20" s="751"/>
      <c r="DN20" s="751"/>
      <c r="DO20" s="57"/>
      <c r="DP20" s="33"/>
      <c r="DQ20" s="33"/>
      <c r="DR20" s="33"/>
      <c r="DS20" s="33"/>
      <c r="DT20" s="50"/>
      <c r="DU20" s="128"/>
    </row>
    <row r="21" spans="1:128" ht="12.75" customHeight="1">
      <c r="A21" s="54" t="s">
        <v>74</v>
      </c>
      <c r="B21" s="89"/>
      <c r="C21" s="89"/>
      <c r="D21" s="89"/>
      <c r="E21" s="89"/>
      <c r="F21" s="89"/>
      <c r="G21" s="89"/>
      <c r="H21" s="89"/>
      <c r="I21" s="682"/>
      <c r="J21" s="57"/>
      <c r="K21" s="27" t="s">
        <v>1098</v>
      </c>
      <c r="L21" s="74" t="s">
        <v>36</v>
      </c>
      <c r="M21" s="103" t="s">
        <v>38</v>
      </c>
      <c r="N21" s="103" t="s">
        <v>38</v>
      </c>
      <c r="O21" s="103" t="s">
        <v>38</v>
      </c>
      <c r="P21" s="103" t="s">
        <v>38</v>
      </c>
      <c r="Q21" s="103" t="s">
        <v>38</v>
      </c>
      <c r="R21" s="1090" t="s">
        <v>38</v>
      </c>
      <c r="T21" s="325" t="s">
        <v>1129</v>
      </c>
      <c r="U21" s="942" t="s">
        <v>1130</v>
      </c>
      <c r="V21" s="384">
        <v>2.5</v>
      </c>
      <c r="W21" s="384">
        <v>2</v>
      </c>
      <c r="X21" s="725"/>
      <c r="Y21" s="324"/>
      <c r="Z21" s="324"/>
      <c r="AA21" s="751"/>
      <c r="AB21" s="57"/>
      <c r="AC21" s="240"/>
      <c r="AD21" s="33"/>
      <c r="AE21" s="33"/>
      <c r="AF21" s="33"/>
      <c r="AH21" s="751"/>
      <c r="AI21" s="956" t="s">
        <v>1131</v>
      </c>
      <c r="AJ21" s="1465" t="s">
        <v>1120</v>
      </c>
      <c r="AK21" s="1466"/>
      <c r="AL21" s="1466"/>
      <c r="AM21" s="1466"/>
      <c r="AN21" s="1467"/>
      <c r="AO21" s="957">
        <v>1</v>
      </c>
      <c r="AP21" s="922">
        <v>1.5</v>
      </c>
      <c r="AQ21" s="751"/>
      <c r="AR21" s="751"/>
      <c r="AS21" s="751"/>
      <c r="AT21" s="751"/>
      <c r="AU21" s="751"/>
      <c r="AV21" s="751"/>
      <c r="AW21" s="751"/>
      <c r="AX21" s="751"/>
      <c r="AY21" s="751"/>
      <c r="AZ21" s="751"/>
      <c r="BA21" s="751"/>
      <c r="BB21" s="751"/>
      <c r="BC21" s="751"/>
      <c r="BD21" s="751"/>
      <c r="BE21" s="751"/>
      <c r="BF21" s="751"/>
      <c r="BG21" s="751"/>
      <c r="BH21" s="751"/>
      <c r="BI21" s="751"/>
      <c r="BJ21" s="751"/>
      <c r="BK21" s="751"/>
      <c r="BL21" s="751"/>
      <c r="BM21" s="751"/>
      <c r="BN21" s="751"/>
      <c r="BO21" s="751"/>
      <c r="BP21" s="33"/>
      <c r="BQ21" s="751"/>
      <c r="BR21" s="751"/>
      <c r="BS21" s="751"/>
      <c r="BT21" s="751"/>
      <c r="BU21" s="751"/>
      <c r="BV21" s="751"/>
      <c r="BW21" s="751"/>
      <c r="BX21" s="751"/>
      <c r="BY21" s="751"/>
      <c r="BZ21" s="751"/>
      <c r="CA21" s="751"/>
      <c r="CB21" s="751"/>
      <c r="CC21" s="751"/>
      <c r="CD21" s="751"/>
      <c r="CE21" s="751"/>
      <c r="CF21" s="751"/>
      <c r="CG21" s="751"/>
      <c r="CH21" s="751"/>
      <c r="CI21" s="751"/>
      <c r="CJ21" s="751"/>
      <c r="CK21" s="751"/>
      <c r="CL21" s="751"/>
      <c r="CM21" s="751"/>
      <c r="CN21" s="751"/>
      <c r="CO21" s="751"/>
      <c r="CP21" s="751"/>
      <c r="CQ21" s="751"/>
      <c r="CR21" s="751"/>
      <c r="CS21" s="751"/>
      <c r="CT21" s="751"/>
      <c r="CU21" s="751"/>
      <c r="CV21" s="751"/>
      <c r="CW21" s="751"/>
      <c r="CX21" s="751"/>
      <c r="CY21" s="751"/>
      <c r="CZ21" s="751"/>
      <c r="DA21" s="751"/>
      <c r="DB21" s="751"/>
      <c r="DC21" s="751"/>
      <c r="DD21" s="751"/>
      <c r="DE21" s="751"/>
      <c r="DF21" s="751"/>
      <c r="DG21" s="751"/>
      <c r="DH21" s="751"/>
      <c r="DI21" s="751"/>
      <c r="DJ21" s="751"/>
      <c r="DK21" s="751"/>
      <c r="DL21" s="751"/>
      <c r="DM21" s="751"/>
      <c r="DN21" s="751"/>
      <c r="DO21" s="57"/>
      <c r="DP21" s="33"/>
      <c r="DQ21" s="33"/>
      <c r="DR21" s="33"/>
      <c r="DS21" s="33"/>
      <c r="DT21" s="50"/>
      <c r="DU21" s="128"/>
    </row>
    <row r="22" spans="1:128" ht="12.75" customHeight="1">
      <c r="A22" s="696"/>
      <c r="B22" s="89"/>
      <c r="C22" s="89"/>
      <c r="D22" s="89"/>
      <c r="E22" s="89"/>
      <c r="F22" s="89"/>
      <c r="G22" s="89"/>
      <c r="H22" s="89"/>
      <c r="I22" s="682"/>
      <c r="J22" s="57"/>
      <c r="K22" s="27" t="s">
        <v>1101</v>
      </c>
      <c r="N22" s="27"/>
      <c r="O22" s="77"/>
      <c r="T22" s="325" t="s">
        <v>1132</v>
      </c>
      <c r="U22" s="942" t="s">
        <v>1133</v>
      </c>
      <c r="V22" s="951">
        <v>2.5</v>
      </c>
      <c r="W22" s="951">
        <v>2.5</v>
      </c>
      <c r="X22" s="958"/>
      <c r="Y22" s="303"/>
      <c r="Z22" s="303"/>
      <c r="AA22" s="751"/>
      <c r="AB22" s="1252"/>
      <c r="AC22" s="240"/>
      <c r="AD22" s="33"/>
      <c r="AE22" s="33"/>
      <c r="AF22" s="33"/>
      <c r="AH22" s="751"/>
      <c r="AI22" s="959" t="s">
        <v>1122</v>
      </c>
      <c r="AJ22" s="934" t="s">
        <v>1123</v>
      </c>
      <c r="AK22" s="935"/>
      <c r="AL22" s="935"/>
      <c r="AM22" s="936"/>
      <c r="AN22" s="936"/>
      <c r="AO22" s="645" t="s">
        <v>989</v>
      </c>
      <c r="AP22" s="645" t="s">
        <v>990</v>
      </c>
      <c r="AQ22" s="751"/>
      <c r="AR22" s="751"/>
      <c r="AS22" s="751"/>
      <c r="AT22" s="751"/>
      <c r="AU22" s="751"/>
      <c r="AV22" s="751"/>
      <c r="AW22" s="751"/>
      <c r="AX22" s="751"/>
      <c r="AY22" s="751"/>
      <c r="AZ22" s="751"/>
      <c r="BA22" s="751"/>
      <c r="BB22" s="751"/>
      <c r="BC22" s="751"/>
      <c r="BD22" s="751"/>
      <c r="BE22" s="751"/>
      <c r="BF22" s="751"/>
      <c r="BG22" s="751"/>
      <c r="BH22" s="751"/>
      <c r="BI22" s="751"/>
      <c r="BJ22" s="751"/>
      <c r="BK22" s="751"/>
      <c r="BL22" s="751"/>
      <c r="BM22" s="751"/>
      <c r="BN22" s="751"/>
      <c r="BO22" s="751"/>
      <c r="BP22" s="33"/>
      <c r="BQ22" s="751"/>
      <c r="BR22" s="751"/>
      <c r="BS22" s="751"/>
      <c r="BT22" s="751"/>
      <c r="BU22" s="751"/>
      <c r="BV22" s="751"/>
      <c r="BW22" s="751"/>
      <c r="BX22" s="751"/>
      <c r="BY22" s="751"/>
      <c r="BZ22" s="751"/>
      <c r="CA22" s="751"/>
      <c r="CB22" s="751"/>
      <c r="CC22" s="751"/>
      <c r="CD22" s="751"/>
      <c r="CE22" s="751"/>
      <c r="CF22" s="751"/>
      <c r="CG22" s="751"/>
      <c r="CH22" s="751"/>
      <c r="CI22" s="751"/>
      <c r="CJ22" s="751"/>
      <c r="CK22" s="751"/>
      <c r="CL22" s="751"/>
      <c r="CM22" s="751"/>
      <c r="CN22" s="751"/>
      <c r="CO22" s="751"/>
      <c r="CP22" s="751"/>
      <c r="CQ22" s="751"/>
      <c r="CR22" s="751"/>
      <c r="CS22" s="751"/>
      <c r="CT22" s="751"/>
      <c r="CU22" s="751"/>
      <c r="CV22" s="751"/>
      <c r="CW22" s="751"/>
      <c r="CX22" s="751"/>
      <c r="CY22" s="751"/>
      <c r="CZ22" s="751"/>
      <c r="DA22" s="751"/>
      <c r="DB22" s="751"/>
      <c r="DC22" s="751"/>
      <c r="DD22" s="751"/>
      <c r="DE22" s="751"/>
      <c r="DF22" s="751"/>
      <c r="DG22" s="751"/>
      <c r="DH22" s="751"/>
      <c r="DI22" s="751"/>
      <c r="DJ22" s="751"/>
      <c r="DK22" s="751"/>
      <c r="DL22" s="751"/>
      <c r="DM22" s="751"/>
      <c r="DN22" s="751"/>
      <c r="DO22" s="57"/>
      <c r="DP22" s="33"/>
      <c r="DQ22" s="33"/>
      <c r="DR22" s="33"/>
      <c r="DS22" s="33"/>
      <c r="DT22" s="27"/>
      <c r="DU22" s="100"/>
      <c r="DX22" s="44"/>
    </row>
    <row r="23" spans="1:128" ht="12.75" customHeight="1">
      <c r="A23" s="54" t="s">
        <v>81</v>
      </c>
      <c r="B23" s="89"/>
      <c r="C23" s="38"/>
      <c r="D23" s="38"/>
      <c r="E23" s="38"/>
      <c r="F23" s="234"/>
      <c r="G23" s="38"/>
      <c r="H23" s="38"/>
      <c r="I23" s="121"/>
      <c r="J23" s="57"/>
      <c r="K23" s="27" t="s">
        <v>1103</v>
      </c>
      <c r="L23" s="181" t="s">
        <v>405</v>
      </c>
      <c r="M23" s="115" t="str">
        <f>$C$8</f>
        <v>III</v>
      </c>
      <c r="N23" s="19" t="s">
        <v>1180</v>
      </c>
      <c r="T23" s="952" t="s">
        <v>1134</v>
      </c>
      <c r="U23" s="953" t="s">
        <v>1135</v>
      </c>
      <c r="V23" s="146"/>
      <c r="W23" s="146"/>
      <c r="X23" s="725"/>
      <c r="Y23" s="324"/>
      <c r="Z23" s="324"/>
      <c r="AA23" s="751"/>
      <c r="AH23" s="751"/>
      <c r="AI23" s="1439" t="s">
        <v>1092</v>
      </c>
      <c r="AJ23" s="1441" t="s">
        <v>1125</v>
      </c>
      <c r="AK23" s="1442"/>
      <c r="AL23" s="1442"/>
      <c r="AM23" s="1442"/>
      <c r="AN23" s="1443"/>
      <c r="AO23" s="1446">
        <v>2.5</v>
      </c>
      <c r="AP23" s="1446">
        <v>2.5</v>
      </c>
      <c r="AQ23" s="751"/>
      <c r="AR23" s="751"/>
      <c r="AS23" s="751"/>
      <c r="AT23" s="751"/>
      <c r="AU23" s="751"/>
      <c r="AV23" s="751"/>
      <c r="AW23" s="751"/>
      <c r="AX23" s="751"/>
      <c r="AY23" s="751"/>
      <c r="AZ23" s="751"/>
      <c r="BA23" s="751"/>
      <c r="BB23" s="751"/>
      <c r="BC23" s="751"/>
      <c r="BD23" s="751"/>
      <c r="BE23" s="751"/>
      <c r="BF23" s="751"/>
      <c r="BG23" s="751"/>
      <c r="BH23" s="751"/>
      <c r="BI23" s="751"/>
      <c r="BJ23" s="751"/>
      <c r="BK23" s="751"/>
      <c r="BL23" s="751"/>
      <c r="BM23" s="751"/>
      <c r="BN23" s="751"/>
      <c r="BO23" s="751"/>
      <c r="BP23" s="33"/>
      <c r="BQ23" s="751"/>
      <c r="BR23" s="751"/>
      <c r="BS23" s="751"/>
      <c r="BT23" s="751"/>
      <c r="BU23" s="751"/>
      <c r="BV23" s="751"/>
      <c r="BW23" s="751"/>
      <c r="BX23" s="751"/>
      <c r="BY23" s="751"/>
      <c r="BZ23" s="751"/>
      <c r="CA23" s="751"/>
      <c r="CB23" s="751"/>
      <c r="CC23" s="751"/>
      <c r="CD23" s="751"/>
      <c r="CE23" s="751"/>
      <c r="CF23" s="751"/>
      <c r="CG23" s="751"/>
      <c r="CH23" s="751"/>
      <c r="CI23" s="751"/>
      <c r="CJ23" s="751"/>
      <c r="CK23" s="751"/>
      <c r="CL23" s="751"/>
      <c r="CM23" s="751"/>
      <c r="CN23" s="751"/>
      <c r="CO23" s="751"/>
      <c r="CP23" s="751"/>
      <c r="CQ23" s="751"/>
      <c r="CR23" s="751"/>
      <c r="CS23" s="751"/>
      <c r="CT23" s="751"/>
      <c r="CU23" s="751"/>
      <c r="CV23" s="751"/>
      <c r="CW23" s="751"/>
      <c r="CX23" s="751"/>
      <c r="CY23" s="751"/>
      <c r="CZ23" s="751"/>
      <c r="DA23" s="751"/>
      <c r="DB23" s="751"/>
      <c r="DC23" s="751"/>
      <c r="DD23" s="751"/>
      <c r="DE23" s="751"/>
      <c r="DF23" s="751"/>
      <c r="DG23" s="751"/>
      <c r="DH23" s="751"/>
      <c r="DI23" s="751"/>
      <c r="DJ23" s="751"/>
      <c r="DK23" s="751"/>
      <c r="DL23" s="751"/>
      <c r="DM23" s="751"/>
      <c r="DN23" s="751"/>
      <c r="DO23" s="57"/>
      <c r="DP23" s="33"/>
      <c r="DQ23" s="33"/>
      <c r="DR23" s="33"/>
      <c r="DS23" s="33"/>
      <c r="DT23" s="27"/>
      <c r="DU23" s="100"/>
      <c r="DX23" s="44"/>
    </row>
    <row r="24" spans="1:128" ht="12.75" customHeight="1">
      <c r="A24" s="696"/>
      <c r="B24" s="68" t="s">
        <v>710</v>
      </c>
      <c r="C24" s="107">
        <f>IF($C$9="A",$R$6,IF($C$9="B",$R$7,IF($C$9="C",$R$8,IF($C$9="D",$R$9,IF($C$9="E",$R$10,IF($C$9="F",$R$11))))))</f>
        <v>1.3088</v>
      </c>
      <c r="D24" s="1057" t="s">
        <v>1167</v>
      </c>
      <c r="E24" s="921"/>
      <c r="F24" s="960"/>
      <c r="G24" s="89"/>
      <c r="H24" s="89"/>
      <c r="I24" s="682"/>
      <c r="J24" s="57"/>
      <c r="K24" s="27" t="s">
        <v>1106</v>
      </c>
      <c r="T24" s="325" t="s">
        <v>1009</v>
      </c>
      <c r="U24" s="404" t="s">
        <v>1136</v>
      </c>
      <c r="V24" s="469">
        <v>2.5</v>
      </c>
      <c r="W24" s="469">
        <v>12</v>
      </c>
      <c r="X24" s="961"/>
      <c r="Y24" s="324"/>
      <c r="Z24" s="324"/>
      <c r="AA24" s="751"/>
      <c r="AB24" s="480"/>
      <c r="AC24" s="480"/>
      <c r="AD24" s="485"/>
      <c r="AE24" s="485"/>
      <c r="AF24" s="485"/>
      <c r="AG24" s="485"/>
      <c r="AH24" s="751"/>
      <c r="AI24" s="1440"/>
      <c r="AJ24" s="1444"/>
      <c r="AK24" s="1444"/>
      <c r="AL24" s="1444"/>
      <c r="AM24" s="1444"/>
      <c r="AN24" s="1445"/>
      <c r="AO24" s="1447"/>
      <c r="AP24" s="1447"/>
      <c r="AQ24" s="751"/>
      <c r="AR24" s="751"/>
      <c r="AS24" s="751"/>
      <c r="AT24" s="751"/>
      <c r="AU24" s="751"/>
      <c r="AV24" s="751"/>
      <c r="AW24" s="751"/>
      <c r="AX24" s="751"/>
      <c r="AY24" s="751"/>
      <c r="AZ24" s="751"/>
      <c r="BA24" s="751"/>
      <c r="BB24" s="751"/>
      <c r="BC24" s="751"/>
      <c r="BD24" s="751"/>
      <c r="BE24" s="751"/>
      <c r="BF24" s="751"/>
      <c r="BG24" s="751"/>
      <c r="BH24" s="751"/>
      <c r="BI24" s="751"/>
      <c r="BJ24" s="751"/>
      <c r="BK24" s="53"/>
      <c r="BL24" s="53"/>
      <c r="BM24" s="53"/>
      <c r="BN24" s="53"/>
      <c r="BO24" s="53"/>
      <c r="BP24" s="3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7"/>
      <c r="DP24" s="33"/>
      <c r="DQ24" s="33"/>
      <c r="DR24" s="33"/>
      <c r="DS24" s="33"/>
      <c r="DT24" s="27"/>
      <c r="DU24" s="100"/>
      <c r="DX24" s="44"/>
    </row>
    <row r="25" spans="1:128" ht="12.75" customHeight="1">
      <c r="A25" s="54"/>
      <c r="B25" s="68" t="s">
        <v>712</v>
      </c>
      <c r="C25" s="109">
        <f>IF($C$9="A",$R$16,IF($C$9="B",$R$17,IF($C$9="C",$R$18,IF($C$9="D",$R$19,IF($C$9="E",$R$20,IF($C$9="F",$R$21))))))</f>
        <v>1.8439999999999999</v>
      </c>
      <c r="D25" s="1057" t="s">
        <v>1168</v>
      </c>
      <c r="E25" s="921"/>
      <c r="F25" s="960"/>
      <c r="G25" s="89"/>
      <c r="H25" s="89"/>
      <c r="I25" s="682"/>
      <c r="J25" s="33"/>
      <c r="K25" s="27" t="s">
        <v>1109</v>
      </c>
      <c r="L25" s="270" t="s">
        <v>1183</v>
      </c>
      <c r="M25" s="688"/>
      <c r="N25" s="113"/>
      <c r="O25" s="127"/>
      <c r="P25" s="25"/>
      <c r="T25" s="325" t="s">
        <v>1012</v>
      </c>
      <c r="U25" s="404" t="s">
        <v>1137</v>
      </c>
      <c r="V25" s="384">
        <v>2.5</v>
      </c>
      <c r="W25" s="384">
        <v>6</v>
      </c>
      <c r="X25" s="725"/>
      <c r="Y25" s="324"/>
      <c r="Z25" s="324"/>
      <c r="AA25" s="100"/>
      <c r="AH25" s="100"/>
      <c r="AI25" s="1451" t="s">
        <v>1094</v>
      </c>
      <c r="AJ25" s="1452" t="s">
        <v>1127</v>
      </c>
      <c r="AK25" s="1453"/>
      <c r="AL25" s="1453"/>
      <c r="AM25" s="1453"/>
      <c r="AN25" s="1454"/>
      <c r="AO25" s="1456">
        <v>2.5</v>
      </c>
      <c r="AP25" s="1456">
        <v>2</v>
      </c>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100"/>
      <c r="CP25" s="100"/>
      <c r="CQ25" s="100"/>
      <c r="CR25" s="100"/>
      <c r="CS25" s="100"/>
      <c r="CT25" s="100"/>
      <c r="CU25" s="100"/>
      <c r="CV25" s="100"/>
      <c r="CW25" s="100"/>
      <c r="CX25" s="100"/>
      <c r="CY25" s="100"/>
      <c r="CZ25" s="100"/>
      <c r="DA25" s="100"/>
      <c r="DB25" s="100"/>
      <c r="DC25" s="100"/>
      <c r="DD25" s="100"/>
      <c r="DE25" s="100"/>
      <c r="DF25" s="100"/>
      <c r="DG25" s="100"/>
      <c r="DH25" s="100"/>
      <c r="DI25" s="100"/>
      <c r="DJ25" s="100"/>
      <c r="DK25" s="100"/>
      <c r="DL25" s="100"/>
      <c r="DM25" s="100"/>
      <c r="DN25" s="100"/>
      <c r="DO25" s="57"/>
      <c r="DP25" s="33"/>
      <c r="DQ25" s="33"/>
      <c r="DR25" s="33"/>
      <c r="DS25" s="33"/>
      <c r="DT25" s="27"/>
      <c r="DU25" s="100"/>
      <c r="DX25" s="44"/>
    </row>
    <row r="26" spans="1:128" ht="12.75" customHeight="1">
      <c r="A26" s="293" t="s">
        <v>707</v>
      </c>
      <c r="B26" s="89"/>
      <c r="C26" s="89"/>
      <c r="D26" s="780"/>
      <c r="E26" s="89"/>
      <c r="F26" s="89"/>
      <c r="G26" s="89"/>
      <c r="H26" s="89"/>
      <c r="I26" s="682"/>
      <c r="J26" s="57"/>
      <c r="K26" s="279" t="s">
        <v>1112</v>
      </c>
      <c r="L26" s="692"/>
      <c r="M26" s="688" t="s">
        <v>159</v>
      </c>
      <c r="N26" s="688"/>
      <c r="O26" s="127"/>
      <c r="T26" s="325" t="s">
        <v>1015</v>
      </c>
      <c r="U26" s="404" t="s">
        <v>1138</v>
      </c>
      <c r="V26" s="384">
        <v>2.5</v>
      </c>
      <c r="W26" s="384">
        <v>9</v>
      </c>
      <c r="X26" s="958"/>
      <c r="Y26" s="324"/>
      <c r="Z26" s="324"/>
      <c r="AA26" s="100"/>
      <c r="AH26" s="100"/>
      <c r="AI26" s="1451"/>
      <c r="AJ26" s="1455"/>
      <c r="AK26" s="1453"/>
      <c r="AL26" s="1453"/>
      <c r="AM26" s="1453"/>
      <c r="AN26" s="1454"/>
      <c r="AO26" s="1457"/>
      <c r="AP26" s="1457"/>
      <c r="AQ26" s="210"/>
      <c r="AR26" s="210"/>
      <c r="AS26" s="210"/>
      <c r="AT26" s="210"/>
      <c r="AU26" s="210"/>
      <c r="AV26" s="210"/>
      <c r="AW26" s="210"/>
      <c r="AX26" s="210"/>
      <c r="AY26" s="210"/>
      <c r="AZ26" s="210"/>
      <c r="BA26" s="210"/>
      <c r="BB26" s="210"/>
      <c r="BC26" s="210"/>
      <c r="BD26" s="210"/>
      <c r="BE26" s="210"/>
      <c r="BF26" s="210"/>
      <c r="BG26" s="210"/>
      <c r="BH26" s="210"/>
      <c r="BI26" s="210"/>
      <c r="BJ26" s="210"/>
      <c r="BK26" s="210"/>
      <c r="BL26" s="210"/>
      <c r="BM26" s="210"/>
      <c r="BN26" s="210"/>
      <c r="BO26" s="210"/>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100"/>
      <c r="CP26" s="100"/>
      <c r="CQ26" s="100"/>
      <c r="CR26" s="100"/>
      <c r="CS26" s="100"/>
      <c r="CT26" s="100"/>
      <c r="CU26" s="100"/>
      <c r="CV26" s="100"/>
      <c r="CW26" s="100"/>
      <c r="CX26" s="100"/>
      <c r="CY26" s="100"/>
      <c r="CZ26" s="100"/>
      <c r="DA26" s="100"/>
      <c r="DB26" s="100"/>
      <c r="DC26" s="100"/>
      <c r="DD26" s="100"/>
      <c r="DE26" s="100"/>
      <c r="DF26" s="100"/>
      <c r="DG26" s="100"/>
      <c r="DH26" s="100"/>
      <c r="DI26" s="100"/>
      <c r="DJ26" s="100"/>
      <c r="DK26" s="100"/>
      <c r="DL26" s="100"/>
      <c r="DM26" s="100"/>
      <c r="DN26" s="100"/>
      <c r="DO26" s="91"/>
      <c r="DS26" s="33"/>
      <c r="DT26" s="27"/>
      <c r="DU26" s="100"/>
      <c r="DX26" s="44"/>
    </row>
    <row r="27" spans="1:128" ht="12.75" customHeight="1">
      <c r="A27" s="54" t="s">
        <v>255</v>
      </c>
      <c r="B27" s="89"/>
      <c r="C27" s="56"/>
      <c r="D27" s="833"/>
      <c r="E27" s="89"/>
      <c r="F27" s="33"/>
      <c r="G27" s="33"/>
      <c r="H27" s="33"/>
      <c r="I27" s="697"/>
      <c r="K27" s="279" t="s">
        <v>1114</v>
      </c>
      <c r="L27" s="294" t="s">
        <v>51</v>
      </c>
      <c r="M27" s="482" t="s">
        <v>158</v>
      </c>
      <c r="N27" s="115" t="s">
        <v>27</v>
      </c>
      <c r="O27" s="115" t="s">
        <v>34</v>
      </c>
      <c r="P27" s="303"/>
      <c r="T27" s="325" t="s">
        <v>1139</v>
      </c>
      <c r="U27" s="404" t="s">
        <v>1140</v>
      </c>
      <c r="V27" s="384">
        <v>2.5</v>
      </c>
      <c r="W27" s="384">
        <v>4.5</v>
      </c>
      <c r="X27" s="725"/>
      <c r="Y27" s="324"/>
      <c r="Z27" s="324"/>
      <c r="AA27" s="33"/>
      <c r="AB27" s="100"/>
      <c r="AC27" s="33"/>
      <c r="AD27" s="33"/>
      <c r="AE27" s="33"/>
      <c r="AF27" s="33"/>
      <c r="AG27" s="15"/>
      <c r="AH27" s="33"/>
      <c r="AI27" s="962" t="s">
        <v>1100</v>
      </c>
      <c r="AJ27" s="1436" t="s">
        <v>1130</v>
      </c>
      <c r="AK27" s="1437"/>
      <c r="AL27" s="1437"/>
      <c r="AM27" s="1437"/>
      <c r="AN27" s="1438"/>
      <c r="AO27" s="945">
        <v>2.5</v>
      </c>
      <c r="AP27" s="945">
        <v>2</v>
      </c>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57"/>
      <c r="DO27" s="91"/>
      <c r="DS27" s="33"/>
      <c r="DT27" s="27"/>
      <c r="DU27" s="100"/>
      <c r="DX27" s="44"/>
    </row>
    <row r="28" spans="1:128" ht="12.75" customHeight="1">
      <c r="A28" s="696"/>
      <c r="B28" s="68" t="s">
        <v>717</v>
      </c>
      <c r="C28" s="107">
        <f>IF($C$24="Note b","N.A.",$C$24*$C$11)</f>
        <v>0.80360319999999996</v>
      </c>
      <c r="D28" s="1057" t="s">
        <v>1169</v>
      </c>
      <c r="E28" s="89"/>
      <c r="F28" s="89"/>
      <c r="G28" s="963"/>
      <c r="H28" s="38"/>
      <c r="I28" s="121"/>
      <c r="K28" s="279" t="s">
        <v>1117</v>
      </c>
      <c r="L28" s="116" t="s">
        <v>52</v>
      </c>
      <c r="M28" s="116" t="s">
        <v>29</v>
      </c>
      <c r="N28" s="116" t="s">
        <v>29</v>
      </c>
      <c r="O28" s="116" t="s">
        <v>29</v>
      </c>
      <c r="P28" s="303"/>
      <c r="Q28" s="33"/>
      <c r="T28" s="325" t="s">
        <v>1141</v>
      </c>
      <c r="U28" s="404" t="s">
        <v>1142</v>
      </c>
      <c r="V28" s="384">
        <v>2.5</v>
      </c>
      <c r="W28" s="384">
        <v>3</v>
      </c>
      <c r="X28" s="923"/>
      <c r="Y28" s="25"/>
      <c r="Z28" s="25"/>
      <c r="AA28" s="33"/>
      <c r="AH28" s="33"/>
      <c r="AI28" s="1451" t="s">
        <v>1105</v>
      </c>
      <c r="AJ28" s="1452" t="s">
        <v>1133</v>
      </c>
      <c r="AK28" s="1453"/>
      <c r="AL28" s="1453"/>
      <c r="AM28" s="1453"/>
      <c r="AN28" s="1454"/>
      <c r="AO28" s="1456">
        <v>2.5</v>
      </c>
      <c r="AP28" s="1456">
        <v>2.5</v>
      </c>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57"/>
      <c r="DO28" s="91"/>
      <c r="DS28" s="33"/>
      <c r="DT28" s="27"/>
      <c r="DU28" s="100"/>
      <c r="DX28" s="44"/>
    </row>
    <row r="29" spans="1:128" ht="12.75" customHeight="1">
      <c r="A29" s="54"/>
      <c r="B29" s="68" t="s">
        <v>719</v>
      </c>
      <c r="C29" s="109">
        <f>IF($C$25="Note b","N.A.",$C$25*$C$12)</f>
        <v>0.51263199999999998</v>
      </c>
      <c r="D29" s="1057" t="s">
        <v>1170</v>
      </c>
      <c r="E29" s="89"/>
      <c r="F29" s="704"/>
      <c r="G29" s="964"/>
      <c r="H29" s="38"/>
      <c r="I29" s="682"/>
      <c r="J29" s="57"/>
      <c r="K29" s="279" t="s">
        <v>1119</v>
      </c>
      <c r="L29" s="118" t="s">
        <v>368</v>
      </c>
      <c r="M29" s="118" t="s">
        <v>31</v>
      </c>
      <c r="N29" s="118" t="s">
        <v>31</v>
      </c>
      <c r="O29" s="118" t="s">
        <v>33</v>
      </c>
      <c r="P29" s="100"/>
      <c r="Q29" s="33"/>
      <c r="T29" s="325" t="s">
        <v>1143</v>
      </c>
      <c r="U29" s="404" t="s">
        <v>1144</v>
      </c>
      <c r="V29" s="384">
        <v>2.5</v>
      </c>
      <c r="W29" s="384">
        <v>9</v>
      </c>
      <c r="X29" s="33"/>
      <c r="Y29" s="25"/>
      <c r="Z29" s="25"/>
      <c r="AA29" s="33"/>
      <c r="AH29" s="33"/>
      <c r="AI29" s="1459"/>
      <c r="AJ29" s="1455"/>
      <c r="AK29" s="1453"/>
      <c r="AL29" s="1453"/>
      <c r="AM29" s="1453"/>
      <c r="AN29" s="1454"/>
      <c r="AO29" s="1460"/>
      <c r="AP29" s="1460"/>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57"/>
      <c r="DO29" s="91"/>
      <c r="DS29" s="33"/>
      <c r="DT29" s="27"/>
      <c r="DU29" s="33"/>
      <c r="DX29" s="44"/>
    </row>
    <row r="30" spans="1:128" ht="12.75" customHeight="1">
      <c r="A30" s="696"/>
      <c r="B30" s="89"/>
      <c r="C30" s="89"/>
      <c r="D30" s="780"/>
      <c r="E30" s="89"/>
      <c r="F30" s="89"/>
      <c r="G30" s="33"/>
      <c r="H30" s="33"/>
      <c r="I30" s="697"/>
      <c r="K30" s="280" t="s">
        <v>1003</v>
      </c>
      <c r="L30" s="118" t="s">
        <v>370</v>
      </c>
      <c r="M30" s="118" t="s">
        <v>33</v>
      </c>
      <c r="N30" s="118" t="s">
        <v>33</v>
      </c>
      <c r="O30" s="118" t="s">
        <v>32</v>
      </c>
      <c r="P30" s="100"/>
      <c r="Q30" s="33"/>
      <c r="T30" s="325" t="s">
        <v>1145</v>
      </c>
      <c r="U30" s="404" t="s">
        <v>1146</v>
      </c>
      <c r="V30" s="384">
        <v>2.5</v>
      </c>
      <c r="W30" s="384">
        <v>6</v>
      </c>
      <c r="X30" s="33"/>
      <c r="Y30" s="44"/>
      <c r="Z30" s="44"/>
      <c r="AI30" s="933" t="s">
        <v>1134</v>
      </c>
      <c r="AJ30" s="934" t="s">
        <v>1135</v>
      </c>
      <c r="AK30" s="935"/>
      <c r="AL30" s="935"/>
      <c r="AM30" s="936"/>
      <c r="AN30" s="936"/>
      <c r="AO30" s="588" t="s">
        <v>989</v>
      </c>
      <c r="AP30" s="588" t="s">
        <v>990</v>
      </c>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91"/>
      <c r="DO30" s="91"/>
      <c r="DS30" s="33"/>
      <c r="DT30" s="27"/>
      <c r="DU30" s="33"/>
      <c r="DX30" s="44"/>
    </row>
    <row r="31" spans="1:128" ht="12.75" customHeight="1">
      <c r="A31" s="54" t="s">
        <v>80</v>
      </c>
      <c r="B31" s="89"/>
      <c r="C31" s="56"/>
      <c r="D31" s="833"/>
      <c r="E31" s="89"/>
      <c r="F31" s="33"/>
      <c r="G31" s="110"/>
      <c r="H31" s="89"/>
      <c r="I31" s="682"/>
      <c r="J31" s="57"/>
      <c r="K31" s="280" t="s">
        <v>1006</v>
      </c>
      <c r="L31" s="124" t="s">
        <v>371</v>
      </c>
      <c r="M31" s="124" t="s">
        <v>32</v>
      </c>
      <c r="N31" s="124" t="s">
        <v>32</v>
      </c>
      <c r="O31" s="124" t="s">
        <v>32</v>
      </c>
      <c r="P31" s="25" t="s">
        <v>147</v>
      </c>
      <c r="Q31" s="33"/>
      <c r="T31" s="325" t="s">
        <v>1147</v>
      </c>
      <c r="U31" s="404" t="s">
        <v>1148</v>
      </c>
      <c r="V31" s="384">
        <v>2.5</v>
      </c>
      <c r="W31" s="384">
        <v>3</v>
      </c>
      <c r="X31" s="923"/>
      <c r="Y31" s="25"/>
      <c r="Z31" s="25"/>
      <c r="AA31" s="33"/>
      <c r="AI31" s="965" t="s">
        <v>1092</v>
      </c>
      <c r="AJ31" s="966" t="s">
        <v>1136</v>
      </c>
      <c r="AK31" s="967"/>
      <c r="AL31" s="967"/>
      <c r="AM31" s="927"/>
      <c r="AN31" s="927"/>
      <c r="AO31" s="968">
        <v>2.5</v>
      </c>
      <c r="AP31" s="968">
        <v>12</v>
      </c>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91"/>
      <c r="DO31" s="91"/>
      <c r="DS31" s="33"/>
      <c r="DT31" s="27"/>
      <c r="DU31" s="33"/>
      <c r="DX31" s="44"/>
    </row>
    <row r="32" spans="1:128" ht="12.75" customHeight="1">
      <c r="A32" s="696"/>
      <c r="B32" s="68" t="s">
        <v>723</v>
      </c>
      <c r="C32" s="107">
        <f>IF($C$28="N.A.","N.A.",2*$C$28/3)</f>
        <v>0.5357354666666666</v>
      </c>
      <c r="D32" s="1057" t="s">
        <v>1171</v>
      </c>
      <c r="E32" s="89"/>
      <c r="F32" s="89"/>
      <c r="G32" s="110"/>
      <c r="H32" s="704"/>
      <c r="I32" s="121"/>
      <c r="J32" s="57"/>
      <c r="K32" s="27" t="s">
        <v>1129</v>
      </c>
      <c r="L32" s="27" t="s">
        <v>56</v>
      </c>
      <c r="M32" s="25" t="s">
        <v>707</v>
      </c>
      <c r="N32" s="27" t="str">
        <f>IF(OR($M$23="I",$M$23="II",$M$23="IV"),"",IF($C$32&lt;0.167,"A",IF(AND($C$32&gt;=0.167,$C$32&lt;0.33),"B",IF(AND($C$32&gt;=0.33,$C$32&lt;0.5),"C",IF(AND($C$32&gt;=0.5,$C$12&lt;0.75),"D",IF((AND($C$32&gt;=0.5,$C$12&gt;=0.75)),"E"))))))</f>
        <v>D</v>
      </c>
      <c r="O32" s="27" t="s">
        <v>707</v>
      </c>
      <c r="P32" s="27">
        <f>IF($C$36="A",1,IF($C$36="B",2,IF($C$36="C",3,IF($C$36="D",4,IF($C$36="E",5,IF($C$36="F",6))))))</f>
        <v>4</v>
      </c>
      <c r="Q32" s="33"/>
      <c r="T32" s="325" t="s">
        <v>1149</v>
      </c>
      <c r="U32" s="404" t="s">
        <v>1150</v>
      </c>
      <c r="V32" s="384">
        <v>1</v>
      </c>
      <c r="W32" s="384">
        <v>2.5</v>
      </c>
      <c r="X32" s="961"/>
      <c r="Y32" s="25"/>
      <c r="Z32" s="25"/>
      <c r="AI32" s="1451" t="s">
        <v>1094</v>
      </c>
      <c r="AJ32" s="1452" t="s">
        <v>1137</v>
      </c>
      <c r="AK32" s="1453"/>
      <c r="AL32" s="1453"/>
      <c r="AM32" s="1453"/>
      <c r="AN32" s="1454"/>
      <c r="AO32" s="1456">
        <v>2.5</v>
      </c>
      <c r="AP32" s="1456">
        <v>6</v>
      </c>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91"/>
      <c r="DO32" s="91"/>
      <c r="DS32" s="33"/>
      <c r="DT32" s="119"/>
      <c r="DU32" s="128"/>
    </row>
    <row r="33" spans="1:128" ht="12.75" customHeight="1">
      <c r="A33" s="54"/>
      <c r="B33" s="68" t="s">
        <v>725</v>
      </c>
      <c r="C33" s="109">
        <f>IF($C$29="N.A.","N.A.",2*$C$29/3)</f>
        <v>0.34175466666666665</v>
      </c>
      <c r="D33" s="1057" t="s">
        <v>1172</v>
      </c>
      <c r="E33" s="89"/>
      <c r="F33" s="89"/>
      <c r="G33" s="110"/>
      <c r="H33" s="89"/>
      <c r="I33" s="682"/>
      <c r="J33" s="57"/>
      <c r="K33" s="279" t="s">
        <v>1132</v>
      </c>
      <c r="N33" s="27"/>
      <c r="O33" s="77"/>
      <c r="P33" s="100"/>
      <c r="Q33" s="33"/>
      <c r="T33" s="325" t="s">
        <v>1151</v>
      </c>
      <c r="U33" s="404" t="s">
        <v>1152</v>
      </c>
      <c r="V33" s="384">
        <v>2.5</v>
      </c>
      <c r="W33" s="384">
        <v>3</v>
      </c>
      <c r="X33" s="33"/>
      <c r="AI33" s="1451"/>
      <c r="AJ33" s="1455"/>
      <c r="AK33" s="1453"/>
      <c r="AL33" s="1453"/>
      <c r="AM33" s="1453"/>
      <c r="AN33" s="1454"/>
      <c r="AO33" s="1457"/>
      <c r="AP33" s="1457"/>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91"/>
      <c r="DO33" s="91"/>
      <c r="DS33" s="33"/>
      <c r="DT33" s="119"/>
      <c r="DU33" s="128"/>
    </row>
    <row r="34" spans="1:128" ht="12.75" customHeight="1">
      <c r="A34" s="696"/>
      <c r="B34" s="89"/>
      <c r="C34" s="89"/>
      <c r="D34" s="833"/>
      <c r="E34" s="117"/>
      <c r="F34" s="89"/>
      <c r="G34" s="117"/>
      <c r="H34" s="38"/>
      <c r="I34" s="121"/>
      <c r="J34" s="57"/>
      <c r="K34" s="279" t="s">
        <v>1009</v>
      </c>
      <c r="L34" s="270" t="s">
        <v>1184</v>
      </c>
      <c r="M34" s="688"/>
      <c r="N34" s="113"/>
      <c r="O34" s="127"/>
      <c r="P34" s="128"/>
      <c r="Q34" s="128"/>
      <c r="S34" s="33"/>
      <c r="T34" s="326" t="s">
        <v>1153</v>
      </c>
      <c r="U34" s="407" t="s">
        <v>1154</v>
      </c>
      <c r="V34" s="951">
        <v>2.5</v>
      </c>
      <c r="W34" s="951">
        <v>6</v>
      </c>
      <c r="X34" s="33"/>
      <c r="Y34" s="324"/>
      <c r="Z34" s="324"/>
      <c r="AB34" s="1251" t="s">
        <v>380</v>
      </c>
      <c r="AC34" s="33"/>
      <c r="AD34" s="33"/>
      <c r="AE34" s="33"/>
      <c r="AF34" s="33"/>
      <c r="AI34" s="1451"/>
      <c r="AJ34" s="1455"/>
      <c r="AK34" s="1453"/>
      <c r="AL34" s="1453"/>
      <c r="AM34" s="1453"/>
      <c r="AN34" s="1454"/>
      <c r="AO34" s="1457"/>
      <c r="AP34" s="1457"/>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91"/>
      <c r="DO34" s="91"/>
    </row>
    <row r="35" spans="1:128" ht="12.75" customHeight="1">
      <c r="A35" s="54" t="s">
        <v>58</v>
      </c>
      <c r="B35" s="89"/>
      <c r="C35" s="56"/>
      <c r="D35" s="833"/>
      <c r="E35" s="68"/>
      <c r="F35" s="89"/>
      <c r="G35" s="110"/>
      <c r="H35" s="38"/>
      <c r="I35" s="121"/>
      <c r="J35" s="33"/>
      <c r="K35" s="279" t="s">
        <v>1012</v>
      </c>
      <c r="L35" s="692"/>
      <c r="M35" s="688" t="s">
        <v>159</v>
      </c>
      <c r="N35" s="688"/>
      <c r="O35" s="127"/>
      <c r="S35" s="33"/>
      <c r="T35" s="370"/>
      <c r="U35" s="303"/>
      <c r="V35" s="924"/>
      <c r="W35" s="924"/>
      <c r="X35" s="33"/>
      <c r="Y35" s="324"/>
      <c r="Z35" s="324"/>
      <c r="AB35" s="57"/>
      <c r="AC35" s="240"/>
      <c r="AD35" s="33"/>
      <c r="AE35" s="33"/>
      <c r="AF35" s="33"/>
      <c r="AI35" s="1451" t="s">
        <v>1100</v>
      </c>
      <c r="AJ35" s="1452" t="s">
        <v>1138</v>
      </c>
      <c r="AK35" s="1453"/>
      <c r="AL35" s="1453"/>
      <c r="AM35" s="1453"/>
      <c r="AN35" s="1454"/>
      <c r="AO35" s="1456">
        <v>2.5</v>
      </c>
      <c r="AP35" s="1456">
        <v>9</v>
      </c>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91"/>
      <c r="DO35" s="91"/>
      <c r="DX35" s="44"/>
    </row>
    <row r="36" spans="1:128" ht="12.75" customHeight="1">
      <c r="A36" s="696"/>
      <c r="B36" s="68" t="s">
        <v>729</v>
      </c>
      <c r="C36" s="116" t="str">
        <f>IF($C$32="N.A.","N.A.",IF(OR($M$23="I",$M$23="II"),$M$32,IF($M$23="III",$N$32,IF($M$23="IV",$O$32))))</f>
        <v>D</v>
      </c>
      <c r="D36" s="1057" t="s">
        <v>1173</v>
      </c>
      <c r="E36" s="68"/>
      <c r="F36" s="236"/>
      <c r="G36" s="89"/>
      <c r="H36" s="969"/>
      <c r="I36" s="682"/>
      <c r="K36" s="280" t="s">
        <v>1015</v>
      </c>
      <c r="L36" s="294" t="s">
        <v>50</v>
      </c>
      <c r="M36" s="482" t="s">
        <v>158</v>
      </c>
      <c r="N36" s="115" t="s">
        <v>27</v>
      </c>
      <c r="O36" s="115" t="s">
        <v>34</v>
      </c>
      <c r="P36" s="128"/>
      <c r="Q36" s="128"/>
      <c r="S36" s="33"/>
      <c r="T36" s="370"/>
      <c r="U36" s="303"/>
      <c r="V36" s="924"/>
      <c r="W36" s="924"/>
      <c r="X36" s="33"/>
      <c r="Y36" s="324"/>
      <c r="Z36" s="324"/>
      <c r="AB36" s="1252"/>
      <c r="AC36" s="240"/>
      <c r="AD36" s="33"/>
      <c r="AE36" s="33"/>
      <c r="AF36" s="33"/>
      <c r="AI36" s="1451"/>
      <c r="AJ36" s="1455"/>
      <c r="AK36" s="1453"/>
      <c r="AL36" s="1453"/>
      <c r="AM36" s="1453"/>
      <c r="AN36" s="1454"/>
      <c r="AO36" s="1457"/>
      <c r="AP36" s="1457"/>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91"/>
      <c r="DO36" s="91"/>
      <c r="DX36" s="44"/>
    </row>
    <row r="37" spans="1:128" ht="12.75" customHeight="1">
      <c r="A37" s="54"/>
      <c r="B37" s="68" t="s">
        <v>731</v>
      </c>
      <c r="C37" s="118" t="str">
        <f>IF($C$33="N.A.","N.A.",IF(OR($M$23="I",$M$23="II"),$M$41,IF($M$23="III",$N$41,IF($M$23="IV",$O$41))))</f>
        <v>D</v>
      </c>
      <c r="D37" s="1057" t="s">
        <v>1174</v>
      </c>
      <c r="E37" s="68"/>
      <c r="F37" s="89"/>
      <c r="G37" s="110"/>
      <c r="H37" s="969"/>
      <c r="I37" s="682"/>
      <c r="K37" s="280" t="s">
        <v>1139</v>
      </c>
      <c r="L37" s="116" t="s">
        <v>53</v>
      </c>
      <c r="M37" s="116" t="s">
        <v>29</v>
      </c>
      <c r="N37" s="116" t="s">
        <v>29</v>
      </c>
      <c r="O37" s="116" t="s">
        <v>29</v>
      </c>
      <c r="P37" s="128"/>
      <c r="Q37" s="129"/>
      <c r="S37" s="33"/>
      <c r="T37" s="370"/>
      <c r="U37" s="303"/>
      <c r="V37" s="924"/>
      <c r="W37" s="924"/>
      <c r="X37" s="33"/>
      <c r="Y37" s="324"/>
      <c r="Z37" s="324"/>
      <c r="AB37" s="33"/>
      <c r="AC37" s="33"/>
      <c r="AD37" s="33"/>
      <c r="AE37" s="33"/>
      <c r="AF37" s="33"/>
      <c r="AI37" s="1451" t="s">
        <v>1105</v>
      </c>
      <c r="AJ37" s="1452" t="s">
        <v>1140</v>
      </c>
      <c r="AK37" s="1453"/>
      <c r="AL37" s="1453"/>
      <c r="AM37" s="1453"/>
      <c r="AN37" s="1454"/>
      <c r="AO37" s="1456">
        <v>2.5</v>
      </c>
      <c r="AP37" s="1456">
        <v>4.5</v>
      </c>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91"/>
      <c r="DO37" s="91"/>
      <c r="DX37" s="44"/>
    </row>
    <row r="38" spans="1:128" ht="12.75" customHeight="1">
      <c r="A38" s="696"/>
      <c r="B38" s="68" t="s">
        <v>85</v>
      </c>
      <c r="C38" s="124" t="str">
        <f>IF(OR($C$36="N.A.",$C$37="N.A."),"N.A.",$P$43)</f>
        <v>D</v>
      </c>
      <c r="D38" s="780" t="s">
        <v>86</v>
      </c>
      <c r="E38" s="89"/>
      <c r="F38" s="236"/>
      <c r="G38" s="110"/>
      <c r="H38" s="38"/>
      <c r="I38" s="121"/>
      <c r="K38" s="279" t="s">
        <v>1141</v>
      </c>
      <c r="L38" s="118" t="s">
        <v>369</v>
      </c>
      <c r="M38" s="118" t="s">
        <v>31</v>
      </c>
      <c r="N38" s="118" t="s">
        <v>31</v>
      </c>
      <c r="O38" s="118" t="s">
        <v>33</v>
      </c>
      <c r="P38" s="128"/>
      <c r="Q38" s="129"/>
      <c r="S38" s="33"/>
      <c r="T38" s="370"/>
      <c r="U38" s="303"/>
      <c r="V38" s="924"/>
      <c r="W38" s="924"/>
      <c r="X38" s="725"/>
      <c r="Y38" s="324"/>
      <c r="Z38" s="324"/>
      <c r="AB38" s="57"/>
      <c r="AC38" s="25"/>
      <c r="AD38" s="33"/>
      <c r="AE38" s="33"/>
      <c r="AF38" s="33"/>
      <c r="AI38" s="1451"/>
      <c r="AJ38" s="1455"/>
      <c r="AK38" s="1453"/>
      <c r="AL38" s="1453"/>
      <c r="AM38" s="1453"/>
      <c r="AN38" s="1454"/>
      <c r="AO38" s="1457"/>
      <c r="AP38" s="1457"/>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91"/>
      <c r="DO38" s="91"/>
      <c r="DX38" s="44"/>
    </row>
    <row r="39" spans="1:128" ht="12.75" customHeight="1">
      <c r="A39" s="696"/>
      <c r="B39" s="89"/>
      <c r="C39" s="89"/>
      <c r="D39" s="780"/>
      <c r="E39" s="89"/>
      <c r="F39" s="89"/>
      <c r="G39" s="89"/>
      <c r="H39" s="89"/>
      <c r="I39" s="682"/>
      <c r="J39" s="100" t="s">
        <v>25</v>
      </c>
      <c r="K39" s="279" t="s">
        <v>1143</v>
      </c>
      <c r="L39" s="118" t="s">
        <v>372</v>
      </c>
      <c r="M39" s="118" t="s">
        <v>33</v>
      </c>
      <c r="N39" s="118" t="s">
        <v>33</v>
      </c>
      <c r="O39" s="118" t="s">
        <v>32</v>
      </c>
      <c r="P39" s="128"/>
      <c r="Q39" s="129"/>
      <c r="S39" s="33"/>
      <c r="T39" s="370"/>
      <c r="U39" s="303"/>
      <c r="V39" s="924"/>
      <c r="W39" s="924"/>
      <c r="X39" s="725"/>
      <c r="Y39" s="324"/>
      <c r="Z39" s="324"/>
      <c r="AB39" s="57"/>
      <c r="AC39" s="240"/>
      <c r="AD39" s="369"/>
      <c r="AE39" s="33"/>
      <c r="AF39" s="33"/>
      <c r="AI39" s="1451"/>
      <c r="AJ39" s="1455"/>
      <c r="AK39" s="1453"/>
      <c r="AL39" s="1453"/>
      <c r="AM39" s="1453"/>
      <c r="AN39" s="1454"/>
      <c r="AO39" s="1457"/>
      <c r="AP39" s="1457"/>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91"/>
      <c r="DO39" s="91"/>
    </row>
    <row r="40" spans="1:128" ht="12.75" customHeight="1">
      <c r="A40" s="54" t="s">
        <v>1066</v>
      </c>
      <c r="B40" s="33"/>
      <c r="C40" s="33"/>
      <c r="D40" s="753"/>
      <c r="E40" s="33"/>
      <c r="F40" s="236"/>
      <c r="G40" s="89"/>
      <c r="H40" s="89"/>
      <c r="I40" s="682"/>
      <c r="J40" s="100" t="s">
        <v>25</v>
      </c>
      <c r="K40" s="279" t="s">
        <v>1145</v>
      </c>
      <c r="L40" s="124" t="s">
        <v>373</v>
      </c>
      <c r="M40" s="124" t="s">
        <v>32</v>
      </c>
      <c r="N40" s="124" t="s">
        <v>32</v>
      </c>
      <c r="O40" s="124" t="s">
        <v>32</v>
      </c>
      <c r="P40" s="25" t="s">
        <v>147</v>
      </c>
      <c r="X40" s="725"/>
      <c r="Y40" s="324"/>
      <c r="Z40" s="324"/>
      <c r="AB40" s="57"/>
      <c r="AC40" s="240"/>
      <c r="AD40" s="369"/>
      <c r="AE40" s="33"/>
      <c r="AF40" s="33"/>
      <c r="AI40" s="1451" t="s">
        <v>1108</v>
      </c>
      <c r="AJ40" s="1452" t="s">
        <v>1142</v>
      </c>
      <c r="AK40" s="1453"/>
      <c r="AL40" s="1453"/>
      <c r="AM40" s="1453"/>
      <c r="AN40" s="1454"/>
      <c r="AO40" s="1456">
        <v>2.5</v>
      </c>
      <c r="AP40" s="1456">
        <v>3</v>
      </c>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91"/>
      <c r="DO40" s="91"/>
    </row>
    <row r="41" spans="1:128" ht="12.75" customHeight="1">
      <c r="A41" s="696"/>
      <c r="B41" s="68" t="s">
        <v>1067</v>
      </c>
      <c r="C41" s="52">
        <f>IF($C$38="N.A.","N.A.",VLOOKUP($C$17,$T$6:$W$34,3, FALSE))</f>
        <v>1</v>
      </c>
      <c r="D41" s="1057" t="s">
        <v>1175</v>
      </c>
      <c r="E41" s="89"/>
      <c r="F41" s="89"/>
      <c r="G41" s="89"/>
      <c r="H41" s="89"/>
      <c r="I41" s="121"/>
      <c r="J41" s="100" t="s">
        <v>25</v>
      </c>
      <c r="K41" s="27" t="s">
        <v>1147</v>
      </c>
      <c r="L41" s="27" t="s">
        <v>56</v>
      </c>
      <c r="M41" s="25" t="s">
        <v>707</v>
      </c>
      <c r="N41" s="25" t="str">
        <f>IF(OR($M$23="I",$M$23="II",$M$23="IV"),"",IF($C$33&lt;0.067,"A",IF(AND($C$33&gt;=0.067,$C$33&lt;0.133),"B",IF(AND($C$33&gt;=0.133,$C$33&lt;0.2),"C",IF(AND($C$33&gt;=0.2,$C$12&lt;0.75),"D",IF((AND($C$33&gt;=0.2,$C$12&gt;=0.75)),"E"))))))</f>
        <v>D</v>
      </c>
      <c r="O41" s="25" t="s">
        <v>707</v>
      </c>
      <c r="P41" s="27">
        <f>IF($C$37="A",1,IF($C$37="B",2,IF($C$37="C",3,IF($C$37="D",4,IF($C$37="E",5,IF($C$37="F",6))))))</f>
        <v>4</v>
      </c>
      <c r="T41" s="725"/>
      <c r="U41" s="725"/>
      <c r="V41" s="970"/>
      <c r="W41" s="970"/>
      <c r="X41" s="725"/>
      <c r="Y41" s="324"/>
      <c r="Z41" s="324"/>
      <c r="AB41" s="100"/>
      <c r="AC41" s="33"/>
      <c r="AD41" s="33"/>
      <c r="AE41" s="33"/>
      <c r="AF41" s="33"/>
      <c r="AI41" s="1451"/>
      <c r="AJ41" s="1455"/>
      <c r="AK41" s="1453"/>
      <c r="AL41" s="1453"/>
      <c r="AM41" s="1453"/>
      <c r="AN41" s="1454"/>
      <c r="AO41" s="1457"/>
      <c r="AP41" s="1457"/>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91"/>
      <c r="DO41" s="91"/>
    </row>
    <row r="42" spans="1:128" ht="12.75" customHeight="1">
      <c r="A42" s="696"/>
      <c r="B42" s="68" t="s">
        <v>1068</v>
      </c>
      <c r="C42" s="74">
        <f>IF($C$38="N.A.","N.A.",VLOOKUP($C$17,$T$6:$W$34,4, FALSE))</f>
        <v>1.5</v>
      </c>
      <c r="D42" s="1057" t="s">
        <v>1175</v>
      </c>
      <c r="E42" s="68"/>
      <c r="F42" s="722"/>
      <c r="G42" s="89"/>
      <c r="H42" s="89"/>
      <c r="I42" s="682"/>
      <c r="J42" s="100" t="s">
        <v>25</v>
      </c>
      <c r="K42" s="27" t="s">
        <v>1149</v>
      </c>
      <c r="N42" s="27"/>
      <c r="O42" s="91" t="s">
        <v>161</v>
      </c>
      <c r="P42" s="27">
        <v>4</v>
      </c>
      <c r="T42" s="725"/>
      <c r="U42" s="725"/>
      <c r="V42" s="970"/>
      <c r="W42" s="970"/>
      <c r="X42" s="725"/>
      <c r="Y42" s="324"/>
      <c r="Z42" s="324"/>
      <c r="AB42" s="57"/>
      <c r="AC42" s="240"/>
      <c r="AD42" s="33"/>
      <c r="AE42" s="33"/>
      <c r="AF42" s="33"/>
      <c r="AI42" s="1451" t="s">
        <v>1111</v>
      </c>
      <c r="AJ42" s="1452" t="s">
        <v>1144</v>
      </c>
      <c r="AK42" s="1453"/>
      <c r="AL42" s="1453"/>
      <c r="AM42" s="1453"/>
      <c r="AN42" s="1454"/>
      <c r="AO42" s="1456">
        <v>2.5</v>
      </c>
      <c r="AP42" s="1456">
        <v>9</v>
      </c>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91"/>
      <c r="DO42" s="91"/>
    </row>
    <row r="43" spans="1:128" ht="12.75" customHeight="1">
      <c r="A43" s="696"/>
      <c r="B43" s="89"/>
      <c r="C43" s="89"/>
      <c r="D43" s="780"/>
      <c r="E43" s="89"/>
      <c r="F43" s="89"/>
      <c r="G43" s="89"/>
      <c r="H43" s="89"/>
      <c r="I43" s="682"/>
      <c r="J43" s="100" t="s">
        <v>25</v>
      </c>
      <c r="K43" s="280" t="s">
        <v>1151</v>
      </c>
      <c r="N43" s="27"/>
      <c r="O43" s="91" t="s">
        <v>84</v>
      </c>
      <c r="P43" s="27" t="s">
        <v>32</v>
      </c>
      <c r="T43" s="33"/>
      <c r="U43" s="33"/>
      <c r="V43" s="751"/>
      <c r="W43" s="751"/>
      <c r="X43" s="725"/>
      <c r="Y43" s="324"/>
      <c r="Z43" s="324"/>
      <c r="AB43" s="57"/>
      <c r="AC43" s="240"/>
      <c r="AD43" s="33"/>
      <c r="AE43" s="33"/>
      <c r="AF43" s="33"/>
      <c r="AI43" s="1451"/>
      <c r="AJ43" s="1455"/>
      <c r="AK43" s="1453"/>
      <c r="AL43" s="1453"/>
      <c r="AM43" s="1453"/>
      <c r="AN43" s="1454"/>
      <c r="AO43" s="1457"/>
      <c r="AP43" s="1457"/>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91"/>
      <c r="DO43" s="91"/>
    </row>
    <row r="44" spans="1:128" ht="12.75" customHeight="1">
      <c r="A44" s="54" t="s">
        <v>1072</v>
      </c>
      <c r="B44" s="89"/>
      <c r="C44" s="89"/>
      <c r="D44" s="780"/>
      <c r="E44" s="89"/>
      <c r="F44" s="89"/>
      <c r="G44" s="38"/>
      <c r="H44" s="38"/>
      <c r="I44" s="121"/>
      <c r="J44" s="100" t="s">
        <v>25</v>
      </c>
      <c r="K44" s="280" t="s">
        <v>1153</v>
      </c>
      <c r="T44" s="725"/>
      <c r="U44" s="725"/>
      <c r="V44" s="970"/>
      <c r="W44" s="970"/>
      <c r="X44" s="725"/>
      <c r="Y44" s="324"/>
      <c r="Z44" s="324"/>
      <c r="AI44" s="1451" t="s">
        <v>1116</v>
      </c>
      <c r="AJ44" s="1452" t="s">
        <v>1146</v>
      </c>
      <c r="AK44" s="1453"/>
      <c r="AL44" s="1453"/>
      <c r="AM44" s="1453"/>
      <c r="AN44" s="1454"/>
      <c r="AO44" s="1456">
        <v>2.5</v>
      </c>
      <c r="AP44" s="1456">
        <v>6</v>
      </c>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91"/>
      <c r="DO44" s="77"/>
      <c r="DX44" s="44"/>
    </row>
    <row r="45" spans="1:128" ht="12.75" customHeight="1">
      <c r="A45" s="140"/>
      <c r="B45" s="68" t="s">
        <v>1074</v>
      </c>
      <c r="C45" s="52">
        <f>IF($C$38="N.A.","N.A.",(0.4*$C$41*$C$32*$C$16)*(1+2*$C$14/$C$13)/($C$42/$C$15))</f>
        <v>101.38900853760002</v>
      </c>
      <c r="D45" s="844" t="s">
        <v>1176</v>
      </c>
      <c r="E45" s="89"/>
      <c r="F45" s="89"/>
      <c r="G45" s="38"/>
      <c r="H45" s="38"/>
      <c r="I45" s="121"/>
      <c r="J45" s="100" t="s">
        <v>25</v>
      </c>
      <c r="K45" s="280"/>
      <c r="L45" s="33"/>
      <c r="M45" s="33"/>
      <c r="N45" s="33"/>
      <c r="O45" s="33"/>
      <c r="P45" s="33"/>
      <c r="T45" s="33"/>
      <c r="U45" s="33"/>
      <c r="V45" s="751"/>
      <c r="W45" s="751"/>
      <c r="X45" s="725"/>
      <c r="Y45" s="324"/>
      <c r="Z45" s="324"/>
      <c r="AI45" s="1451"/>
      <c r="AJ45" s="1455"/>
      <c r="AK45" s="1453"/>
      <c r="AL45" s="1453"/>
      <c r="AM45" s="1453"/>
      <c r="AN45" s="1454"/>
      <c r="AO45" s="1457"/>
      <c r="AP45" s="1457"/>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91"/>
      <c r="DO45" s="77"/>
      <c r="DX45" s="44"/>
    </row>
    <row r="46" spans="1:128" ht="12.75" customHeight="1">
      <c r="A46" s="696"/>
      <c r="B46" s="68" t="s">
        <v>1076</v>
      </c>
      <c r="C46" s="59">
        <f>IF($C$38="N.A.","N.A.",1.6*$C$32*$C$15*$C$16)</f>
        <v>257.15302400000002</v>
      </c>
      <c r="D46" s="844" t="s">
        <v>1177</v>
      </c>
      <c r="E46" s="68"/>
      <c r="F46" s="33"/>
      <c r="G46" s="33"/>
      <c r="H46" s="33"/>
      <c r="I46" s="697"/>
      <c r="J46" s="100" t="s">
        <v>25</v>
      </c>
      <c r="K46" s="280"/>
      <c r="L46" s="33"/>
      <c r="M46" s="33"/>
      <c r="N46" s="33"/>
      <c r="O46" s="33"/>
      <c r="P46" s="33"/>
      <c r="T46" s="725"/>
      <c r="U46" s="725"/>
      <c r="V46" s="970"/>
      <c r="W46" s="970"/>
      <c r="X46" s="725"/>
      <c r="Y46" s="324"/>
      <c r="Z46" s="324"/>
      <c r="AI46" s="1451" t="s">
        <v>1121</v>
      </c>
      <c r="AJ46" s="1452" t="s">
        <v>1148</v>
      </c>
      <c r="AK46" s="1453"/>
      <c r="AL46" s="1453"/>
      <c r="AM46" s="1453"/>
      <c r="AN46" s="1454"/>
      <c r="AO46" s="1456">
        <v>2.5</v>
      </c>
      <c r="AP46" s="1456">
        <v>3</v>
      </c>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91"/>
      <c r="DO46" s="77"/>
      <c r="DX46" s="44"/>
    </row>
    <row r="47" spans="1:128" ht="12.75" customHeight="1">
      <c r="A47" s="696"/>
      <c r="B47" s="68" t="s">
        <v>1079</v>
      </c>
      <c r="C47" s="59">
        <f>IF($C$38="N.A.","N.A.",0.3*$C$32*$C$15*$C$16)</f>
        <v>48.216191999999992</v>
      </c>
      <c r="D47" s="844" t="s">
        <v>1178</v>
      </c>
      <c r="E47" s="89"/>
      <c r="F47" s="89"/>
      <c r="G47" s="89"/>
      <c r="H47" s="89"/>
      <c r="I47" s="682"/>
      <c r="J47" s="100" t="s">
        <v>25</v>
      </c>
      <c r="K47" s="280"/>
      <c r="L47" s="33"/>
      <c r="M47" s="33"/>
      <c r="N47" s="33"/>
      <c r="O47" s="33"/>
      <c r="P47" s="33"/>
      <c r="S47" s="33"/>
      <c r="T47" s="725"/>
      <c r="U47" s="725"/>
      <c r="V47" s="725"/>
      <c r="W47" s="725"/>
      <c r="X47" s="324"/>
      <c r="Y47" s="324"/>
      <c r="Z47" s="324"/>
      <c r="AI47" s="1451"/>
      <c r="AJ47" s="1455"/>
      <c r="AK47" s="1453"/>
      <c r="AL47" s="1453"/>
      <c r="AM47" s="1453"/>
      <c r="AN47" s="1454"/>
      <c r="AO47" s="1457"/>
      <c r="AP47" s="1457"/>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91"/>
      <c r="DO47" s="77"/>
      <c r="DS47" s="33"/>
      <c r="DT47" s="27"/>
      <c r="DU47" s="100"/>
      <c r="DX47" s="44"/>
    </row>
    <row r="48" spans="1:128" ht="12.75" customHeight="1">
      <c r="A48" s="696"/>
      <c r="B48" s="68" t="s">
        <v>1081</v>
      </c>
      <c r="C48" s="74">
        <f>IF($C$38="N.A.","N.A.",IF(AND($C$47&lt;$C$45,$C$45&lt;$C$46),$C$45,IF($C$45&lt;$C$47,$C$47, IF($C$47&gt;=$C$46,$C$47,$C$46))))</f>
        <v>101.38900853760002</v>
      </c>
      <c r="D48" s="851" t="s">
        <v>1082</v>
      </c>
      <c r="E48" s="89"/>
      <c r="F48" s="89"/>
      <c r="G48" s="89"/>
      <c r="H48" s="89"/>
      <c r="I48" s="682"/>
      <c r="J48" s="25"/>
      <c r="K48" s="280"/>
      <c r="L48" s="33"/>
      <c r="M48" s="33"/>
      <c r="N48" s="33"/>
      <c r="O48" s="33"/>
      <c r="P48" s="33"/>
      <c r="T48" s="33"/>
      <c r="U48" s="33"/>
      <c r="V48" s="33"/>
      <c r="W48" s="33"/>
      <c r="X48" s="33"/>
      <c r="Y48" s="324"/>
      <c r="Z48" s="324"/>
      <c r="AI48" s="946" t="s">
        <v>1124</v>
      </c>
      <c r="AJ48" s="1448" t="s">
        <v>1150</v>
      </c>
      <c r="AK48" s="1449"/>
      <c r="AL48" s="1449"/>
      <c r="AM48" s="1449"/>
      <c r="AN48" s="1450"/>
      <c r="AO48" s="945">
        <v>1</v>
      </c>
      <c r="AP48" s="945">
        <v>2.5</v>
      </c>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91"/>
      <c r="DO48" s="77"/>
      <c r="DS48" s="33"/>
      <c r="DT48" s="27"/>
      <c r="DU48" s="100"/>
      <c r="DX48" s="44"/>
    </row>
    <row r="49" spans="1:128" ht="12.75" customHeight="1">
      <c r="A49" s="696"/>
      <c r="B49" s="89"/>
      <c r="C49" s="89"/>
      <c r="D49" s="990" t="s">
        <v>1083</v>
      </c>
      <c r="E49" s="89"/>
      <c r="F49" s="89"/>
      <c r="G49" s="89"/>
      <c r="H49" s="89"/>
      <c r="I49" s="682"/>
      <c r="J49" s="25"/>
      <c r="K49" s="280"/>
      <c r="L49" s="33"/>
      <c r="M49" s="33"/>
      <c r="N49" s="33"/>
      <c r="O49" s="33"/>
      <c r="P49" s="33"/>
      <c r="T49" s="33"/>
      <c r="U49" s="33"/>
      <c r="V49" s="751"/>
      <c r="W49" s="751"/>
      <c r="X49" s="751"/>
      <c r="Y49" s="324"/>
      <c r="Z49" s="324"/>
      <c r="AI49" s="946" t="s">
        <v>1126</v>
      </c>
      <c r="AJ49" s="1448" t="s">
        <v>1152</v>
      </c>
      <c r="AK49" s="1449"/>
      <c r="AL49" s="1449"/>
      <c r="AM49" s="1449"/>
      <c r="AN49" s="1450"/>
      <c r="AO49" s="945">
        <v>2.5</v>
      </c>
      <c r="AP49" s="945">
        <v>3</v>
      </c>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91"/>
      <c r="DO49" s="77"/>
      <c r="DS49" s="33"/>
      <c r="DT49" s="27"/>
      <c r="DU49" s="100"/>
      <c r="DX49" s="44"/>
    </row>
    <row r="50" spans="1:128" ht="12.75" customHeight="1">
      <c r="A50" s="54" t="s">
        <v>1084</v>
      </c>
      <c r="B50" s="33"/>
      <c r="C50" s="33"/>
      <c r="D50" s="773"/>
      <c r="E50" s="38"/>
      <c r="F50" s="38"/>
      <c r="G50" s="38"/>
      <c r="H50" s="38"/>
      <c r="I50" s="121"/>
      <c r="J50" s="25"/>
      <c r="K50" s="280"/>
      <c r="L50" s="33"/>
      <c r="M50" s="33"/>
      <c r="N50" s="33"/>
      <c r="O50" s="33"/>
      <c r="P50" s="33"/>
      <c r="T50" s="971"/>
      <c r="U50" s="1462"/>
      <c r="V50" s="751"/>
      <c r="W50" s="751"/>
      <c r="X50" s="33"/>
      <c r="Y50" s="303"/>
      <c r="Z50" s="303"/>
      <c r="AI50" s="972" t="s">
        <v>1128</v>
      </c>
      <c r="AJ50" s="1465" t="s">
        <v>1154</v>
      </c>
      <c r="AK50" s="1466"/>
      <c r="AL50" s="1466"/>
      <c r="AM50" s="1466"/>
      <c r="AN50" s="1467"/>
      <c r="AO50" s="957">
        <v>2.5</v>
      </c>
      <c r="AP50" s="957">
        <v>6</v>
      </c>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91"/>
      <c r="DO50" s="77"/>
      <c r="DS50" s="33"/>
      <c r="DT50" s="27"/>
      <c r="DU50" s="100"/>
      <c r="DX50" s="44"/>
    </row>
    <row r="51" spans="1:128" ht="12.75" customHeight="1">
      <c r="A51" s="319"/>
      <c r="B51" s="234" t="s">
        <v>1085</v>
      </c>
      <c r="C51" s="146">
        <f>IF($C$38="N.A.","N.A.",0.2*$C$32*$C$16)</f>
        <v>32.144128000000002</v>
      </c>
      <c r="D51" s="841" t="s">
        <v>1179</v>
      </c>
      <c r="E51" s="38"/>
      <c r="F51" s="38"/>
      <c r="G51" s="38"/>
      <c r="H51" s="38"/>
      <c r="I51" s="121"/>
      <c r="K51" s="280"/>
      <c r="L51" s="33"/>
      <c r="M51" s="33"/>
      <c r="N51" s="33"/>
      <c r="O51" s="33"/>
      <c r="P51" s="33"/>
      <c r="T51" s="725"/>
      <c r="U51" s="1463"/>
      <c r="V51" s="725"/>
      <c r="W51" s="725"/>
      <c r="X51" s="725"/>
      <c r="Y51" s="324"/>
      <c r="Z51" s="324"/>
      <c r="DS51" s="33"/>
      <c r="DT51" s="27"/>
      <c r="DU51" s="100"/>
      <c r="DX51" s="44"/>
    </row>
    <row r="52" spans="1:128" ht="12.75" customHeight="1">
      <c r="A52" s="319"/>
      <c r="B52" s="38"/>
      <c r="C52" s="38"/>
      <c r="D52" s="38"/>
      <c r="E52" s="38"/>
      <c r="F52" s="38"/>
      <c r="G52" s="38"/>
      <c r="H52" s="38"/>
      <c r="I52" s="121"/>
      <c r="K52" s="280"/>
      <c r="L52" s="33"/>
      <c r="M52" s="33"/>
      <c r="N52" s="33"/>
      <c r="O52" s="33"/>
      <c r="P52" s="33"/>
      <c r="T52" s="303"/>
      <c r="U52" s="303"/>
      <c r="V52" s="324"/>
      <c r="W52" s="324"/>
      <c r="X52" s="324"/>
      <c r="Y52" s="324"/>
      <c r="Z52" s="324"/>
      <c r="AI52" s="617" t="s">
        <v>104</v>
      </c>
      <c r="AK52" s="973"/>
      <c r="AL52" s="973"/>
      <c r="AM52" s="973"/>
      <c r="AN52" s="973"/>
      <c r="AO52" s="973"/>
      <c r="AP52" s="973"/>
      <c r="DS52" s="33"/>
      <c r="DT52" s="27"/>
      <c r="DU52" s="100"/>
      <c r="DX52" s="44"/>
    </row>
    <row r="53" spans="1:128" ht="12.75" customHeight="1">
      <c r="A53" s="54" t="s">
        <v>104</v>
      </c>
      <c r="B53" s="252"/>
      <c r="C53" s="252"/>
      <c r="D53" s="252"/>
      <c r="E53" s="252"/>
      <c r="F53" s="252"/>
      <c r="G53" s="252"/>
      <c r="H53" s="252"/>
      <c r="I53" s="257"/>
      <c r="J53" s="25"/>
      <c r="K53" s="280"/>
      <c r="T53" s="303"/>
      <c r="U53" s="303"/>
      <c r="V53" s="324"/>
      <c r="W53" s="324"/>
      <c r="X53" s="324"/>
      <c r="Y53" s="324"/>
      <c r="Z53" s="324"/>
      <c r="AI53" s="925" t="s">
        <v>1069</v>
      </c>
      <c r="AJ53" s="304" t="s">
        <v>1155</v>
      </c>
      <c r="AK53" s="973"/>
      <c r="AL53" s="973"/>
      <c r="AM53" s="973"/>
      <c r="AN53" s="973"/>
      <c r="AP53" s="97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91"/>
      <c r="DO53" s="77"/>
      <c r="DS53" s="33"/>
      <c r="DT53" s="27"/>
      <c r="DU53" s="100"/>
      <c r="DX53" s="44"/>
    </row>
    <row r="54" spans="1:128" ht="12.75" customHeight="1">
      <c r="A54" s="1253"/>
      <c r="B54" s="252"/>
      <c r="C54" s="252"/>
      <c r="D54" s="252"/>
      <c r="E54" s="252"/>
      <c r="F54" s="252"/>
      <c r="G54" s="252"/>
      <c r="H54" s="252"/>
      <c r="I54" s="257"/>
      <c r="J54" s="25"/>
      <c r="K54" s="280"/>
      <c r="M54" s="974"/>
      <c r="Y54" s="324"/>
      <c r="Z54" s="324"/>
      <c r="AI54" s="926"/>
      <c r="AJ54" s="410" t="s">
        <v>1156</v>
      </c>
      <c r="AK54" s="973"/>
      <c r="AL54" s="973"/>
      <c r="AM54" s="973"/>
      <c r="AN54" s="973"/>
      <c r="AP54" s="97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91"/>
      <c r="DO54" s="77"/>
      <c r="DS54" s="33"/>
      <c r="DT54" s="27"/>
      <c r="DU54" s="100"/>
      <c r="DX54" s="44"/>
    </row>
    <row r="55" spans="1:128" ht="12.75" customHeight="1">
      <c r="A55" s="1253"/>
      <c r="B55" s="252"/>
      <c r="C55" s="252"/>
      <c r="D55" s="252"/>
      <c r="E55" s="252"/>
      <c r="F55" s="252"/>
      <c r="G55" s="252"/>
      <c r="H55" s="252"/>
      <c r="I55" s="257"/>
      <c r="J55" s="25"/>
      <c r="K55" s="280"/>
      <c r="Y55" s="324"/>
      <c r="Z55" s="324"/>
      <c r="AI55" s="926"/>
      <c r="AJ55" s="927" t="s">
        <v>1157</v>
      </c>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91"/>
      <c r="DO55" s="77"/>
      <c r="DS55" s="33"/>
      <c r="DT55" s="27"/>
      <c r="DU55" s="100"/>
      <c r="DX55" s="44"/>
    </row>
    <row r="56" spans="1:128" ht="12.75" customHeight="1">
      <c r="A56" s="1254"/>
      <c r="B56" s="392"/>
      <c r="C56" s="392"/>
      <c r="D56" s="392"/>
      <c r="E56" s="392"/>
      <c r="F56" s="392"/>
      <c r="G56" s="392"/>
      <c r="H56" s="392"/>
      <c r="I56" s="499"/>
      <c r="J56" s="25"/>
      <c r="K56" s="280"/>
      <c r="Y56" s="324"/>
      <c r="Z56" s="324"/>
      <c r="AI56" s="925" t="s">
        <v>1077</v>
      </c>
      <c r="AJ56" s="410" t="s">
        <v>1158</v>
      </c>
      <c r="AK56" s="410"/>
      <c r="AL56" s="410"/>
      <c r="AM56" s="410"/>
      <c r="AN56" s="410"/>
      <c r="AP56" s="410"/>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91"/>
      <c r="DO56" s="77"/>
      <c r="DS56" s="33"/>
      <c r="DT56" s="27"/>
      <c r="DU56" s="100"/>
      <c r="DX56" s="44"/>
    </row>
    <row r="57" spans="1:128" ht="12.75" customHeight="1">
      <c r="A57" s="38"/>
      <c r="B57" s="38"/>
      <c r="C57" s="38"/>
      <c r="D57" s="38"/>
      <c r="E57" s="38"/>
      <c r="F57" s="38"/>
      <c r="G57" s="38"/>
      <c r="H57" s="38"/>
      <c r="I57" s="38"/>
      <c r="J57" s="25"/>
      <c r="K57" s="280"/>
      <c r="T57" s="370"/>
      <c r="U57" s="303"/>
      <c r="V57" s="371"/>
      <c r="W57" s="371"/>
      <c r="X57" s="324"/>
      <c r="Y57" s="324"/>
      <c r="Z57" s="324"/>
      <c r="AI57" s="926"/>
      <c r="AJ57" s="410" t="s">
        <v>1159</v>
      </c>
      <c r="AK57" s="410"/>
      <c r="AL57" s="410"/>
      <c r="AM57" s="410"/>
      <c r="AN57" s="410"/>
      <c r="AP57" s="410"/>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91"/>
      <c r="DO57" s="77"/>
      <c r="DS57" s="33"/>
      <c r="DT57" s="27"/>
      <c r="DU57" s="100"/>
      <c r="DX57" s="44"/>
    </row>
    <row r="58" spans="1:128" ht="12.75" customHeight="1">
      <c r="A58" s="38"/>
      <c r="B58" s="38"/>
      <c r="C58" s="38"/>
      <c r="D58" s="38"/>
      <c r="E58" s="38"/>
      <c r="F58" s="38"/>
      <c r="G58" s="38"/>
      <c r="H58" s="38"/>
      <c r="I58" s="38"/>
      <c r="J58" s="25"/>
      <c r="K58" s="280"/>
      <c r="T58" s="370"/>
      <c r="U58" s="303"/>
      <c r="V58" s="371"/>
      <c r="W58" s="371"/>
      <c r="X58" s="324"/>
      <c r="Y58" s="324"/>
      <c r="Z58" s="324"/>
      <c r="AI58" s="926"/>
      <c r="AJ58" s="410" t="s">
        <v>1160</v>
      </c>
      <c r="AK58" s="410"/>
      <c r="AL58" s="410"/>
      <c r="AM58" s="410"/>
      <c r="AN58" s="410"/>
      <c r="AP58" s="410"/>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91"/>
      <c r="DO58" s="77"/>
      <c r="DS58" s="33"/>
      <c r="DT58" s="27"/>
      <c r="DU58" s="100"/>
      <c r="DX58" s="44"/>
    </row>
    <row r="59" spans="1:128" ht="12.75" customHeight="1">
      <c r="A59" s="38"/>
      <c r="B59" s="38"/>
      <c r="C59" s="928"/>
      <c r="D59" s="38"/>
      <c r="E59" s="38"/>
      <c r="F59" s="38"/>
      <c r="G59" s="38"/>
      <c r="H59" s="38"/>
      <c r="I59" s="38"/>
      <c r="J59" s="25"/>
      <c r="K59" s="280"/>
      <c r="T59" s="370"/>
      <c r="U59" s="303"/>
      <c r="V59" s="371"/>
      <c r="W59" s="371"/>
      <c r="X59" s="324"/>
      <c r="Y59" s="324"/>
      <c r="Z59" s="324"/>
      <c r="AI59" s="926"/>
      <c r="AJ59" s="410"/>
      <c r="AK59" s="410"/>
      <c r="AL59" s="410"/>
      <c r="AM59" s="410"/>
      <c r="AN59" s="410"/>
      <c r="AP59" s="410"/>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91"/>
      <c r="DO59" s="77"/>
      <c r="DS59" s="33"/>
      <c r="DT59" s="27"/>
      <c r="DU59" s="100"/>
      <c r="DX59" s="44"/>
    </row>
    <row r="60" spans="1:128" ht="12.75" customHeight="1">
      <c r="A60" s="38"/>
      <c r="B60" s="38"/>
      <c r="C60" s="738"/>
      <c r="D60" s="304"/>
      <c r="E60" s="38"/>
      <c r="F60" s="38"/>
      <c r="G60" s="38"/>
      <c r="H60" s="38"/>
      <c r="I60" s="38"/>
      <c r="J60" s="25"/>
      <c r="K60" s="280"/>
      <c r="T60" s="370"/>
      <c r="U60" s="303"/>
      <c r="V60" s="371"/>
      <c r="W60" s="371"/>
      <c r="X60" s="324"/>
      <c r="Y60" s="324"/>
      <c r="Z60" s="324"/>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91"/>
      <c r="DO60" s="77"/>
      <c r="DS60" s="33"/>
      <c r="DT60" s="27"/>
      <c r="DU60" s="100"/>
      <c r="DX60" s="44"/>
    </row>
    <row r="61" spans="1:128" ht="12.75" customHeight="1">
      <c r="A61" s="38"/>
      <c r="B61" s="742"/>
      <c r="C61" s="304"/>
      <c r="D61" s="304"/>
      <c r="E61" s="38"/>
      <c r="F61" s="38"/>
      <c r="G61" s="38"/>
      <c r="H61" s="38"/>
      <c r="I61" s="38"/>
      <c r="K61" s="280"/>
      <c r="T61" s="370"/>
      <c r="U61" s="303"/>
      <c r="V61" s="371"/>
      <c r="W61" s="371"/>
      <c r="X61" s="324"/>
      <c r="Y61" s="324"/>
      <c r="Z61" s="324"/>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91"/>
      <c r="DO61" s="77"/>
      <c r="DS61" s="33"/>
      <c r="DT61" s="27"/>
      <c r="DU61" s="100"/>
      <c r="DX61" s="44"/>
    </row>
    <row r="62" spans="1:128" ht="12.75" customHeight="1">
      <c r="A62" s="38"/>
      <c r="B62" s="739"/>
      <c r="C62" s="738"/>
      <c r="D62" s="738"/>
      <c r="E62" s="38"/>
      <c r="F62" s="38"/>
      <c r="G62" s="38"/>
      <c r="H62" s="38"/>
      <c r="I62" s="38"/>
      <c r="J62" s="33"/>
      <c r="K62" s="280"/>
      <c r="M62" s="974"/>
      <c r="T62" s="370"/>
      <c r="U62" s="303"/>
      <c r="V62" s="371"/>
      <c r="W62" s="371"/>
      <c r="X62" s="324"/>
      <c r="Y62" s="324"/>
      <c r="Z62" s="324"/>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91"/>
      <c r="DO62" s="77"/>
      <c r="DS62" s="33"/>
      <c r="DT62" s="27"/>
      <c r="DU62" s="100"/>
      <c r="DX62" s="44"/>
    </row>
    <row r="63" spans="1:128" ht="12.75" customHeight="1">
      <c r="A63" s="38"/>
      <c r="B63" s="739"/>
      <c r="C63" s="738"/>
      <c r="D63" s="740"/>
      <c r="E63" s="38"/>
      <c r="F63" s="38"/>
      <c r="G63" s="38"/>
      <c r="H63" s="38"/>
      <c r="I63" s="38"/>
      <c r="J63" s="33"/>
      <c r="K63" s="280"/>
      <c r="T63" s="721"/>
      <c r="U63" s="303"/>
      <c r="V63" s="303"/>
      <c r="W63" s="303"/>
      <c r="X63" s="303"/>
      <c r="Y63" s="303"/>
      <c r="Z63" s="30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91"/>
      <c r="DO63" s="77"/>
      <c r="DS63" s="33"/>
      <c r="DT63" s="27"/>
      <c r="DU63" s="100"/>
      <c r="DX63" s="44"/>
    </row>
    <row r="64" spans="1:128" ht="12.75" customHeight="1">
      <c r="A64" s="38"/>
      <c r="B64" s="739"/>
      <c r="C64" s="738"/>
      <c r="D64" s="738"/>
      <c r="E64" s="38"/>
      <c r="F64" s="38"/>
      <c r="G64" s="38"/>
      <c r="H64" s="38"/>
      <c r="I64" s="38"/>
      <c r="J64" s="33"/>
      <c r="K64" s="280"/>
      <c r="T64" s="303"/>
      <c r="U64" s="1461"/>
      <c r="V64" s="371"/>
      <c r="W64" s="371"/>
      <c r="X64" s="324"/>
      <c r="Y64" s="324"/>
      <c r="Z64" s="324"/>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91"/>
      <c r="DO64" s="77"/>
      <c r="DS64" s="33"/>
      <c r="DT64" s="27"/>
      <c r="DU64" s="100"/>
      <c r="DX64" s="44"/>
    </row>
    <row r="65" spans="1:128" ht="12.75" customHeight="1">
      <c r="A65" s="38"/>
      <c r="B65" s="739"/>
      <c r="C65" s="738"/>
      <c r="D65" s="738"/>
      <c r="E65" s="38"/>
      <c r="F65" s="38"/>
      <c r="G65" s="38"/>
      <c r="H65" s="38"/>
      <c r="I65" s="38"/>
      <c r="J65" s="33"/>
      <c r="K65" s="280"/>
      <c r="T65" s="303"/>
      <c r="U65" s="1464"/>
      <c r="V65" s="371"/>
      <c r="W65" s="371"/>
      <c r="X65" s="324"/>
      <c r="Y65" s="324"/>
      <c r="Z65" s="324"/>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91"/>
      <c r="DO65" s="77"/>
      <c r="DS65" s="33"/>
      <c r="DT65" s="27"/>
      <c r="DU65" s="100"/>
      <c r="DX65" s="44"/>
    </row>
    <row r="66" spans="1:128" ht="12.75" customHeight="1">
      <c r="A66" s="38"/>
      <c r="B66" s="739"/>
      <c r="C66" s="738"/>
      <c r="D66" s="738"/>
      <c r="E66" s="38"/>
      <c r="F66" s="38"/>
      <c r="G66" s="38"/>
      <c r="H66" s="38"/>
      <c r="I66" s="38"/>
      <c r="J66" s="33"/>
      <c r="K66" s="280"/>
      <c r="T66" s="303"/>
      <c r="U66" s="1461"/>
      <c r="V66" s="371"/>
      <c r="W66" s="371"/>
      <c r="X66" s="324"/>
      <c r="Y66" s="324"/>
      <c r="Z66" s="324"/>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91"/>
      <c r="DO66" s="77"/>
      <c r="DS66" s="33"/>
      <c r="DT66" s="27"/>
      <c r="DU66" s="100"/>
      <c r="DX66" s="44"/>
    </row>
    <row r="67" spans="1:128" ht="12.75" customHeight="1">
      <c r="A67" s="38"/>
      <c r="B67" s="38"/>
      <c r="C67" s="38"/>
      <c r="D67" s="38"/>
      <c r="E67" s="38"/>
      <c r="F67" s="38"/>
      <c r="G67" s="38"/>
      <c r="H67" s="38"/>
      <c r="I67" s="38"/>
      <c r="J67" s="33"/>
      <c r="K67" s="280"/>
      <c r="L67" s="91"/>
      <c r="M67" s="147"/>
      <c r="N67" s="191"/>
      <c r="O67" s="128"/>
      <c r="P67" s="129"/>
      <c r="T67" s="303"/>
      <c r="U67" s="1461"/>
      <c r="V67" s="371"/>
      <c r="W67" s="371"/>
      <c r="X67" s="324"/>
      <c r="Y67" s="324"/>
      <c r="Z67" s="324"/>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91"/>
      <c r="DO67" s="77"/>
      <c r="DS67" s="33"/>
      <c r="DT67" s="27"/>
      <c r="DU67" s="100"/>
      <c r="DX67" s="44"/>
    </row>
    <row r="68" spans="1:128" ht="12.75" customHeight="1">
      <c r="A68" s="38"/>
      <c r="B68" s="38"/>
      <c r="C68" s="38"/>
      <c r="D68" s="738"/>
      <c r="E68" s="304"/>
      <c r="F68" s="38"/>
      <c r="G68" s="38"/>
      <c r="H68" s="38"/>
      <c r="I68" s="38"/>
      <c r="J68" s="53"/>
      <c r="K68" s="280"/>
      <c r="L68" s="91"/>
      <c r="M68" s="149"/>
      <c r="N68" s="60"/>
      <c r="O68" s="128"/>
      <c r="P68" s="128"/>
      <c r="T68" s="370"/>
      <c r="U68" s="303"/>
      <c r="V68" s="371"/>
      <c r="W68" s="371"/>
      <c r="X68" s="324"/>
      <c r="Y68" s="324"/>
      <c r="Z68" s="324"/>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91"/>
      <c r="DO68" s="77"/>
      <c r="DS68" s="33"/>
      <c r="DT68" s="27"/>
      <c r="DU68" s="100"/>
      <c r="DX68" s="44"/>
    </row>
    <row r="69" spans="1:128" ht="12.75" customHeight="1">
      <c r="A69" s="38"/>
      <c r="B69" s="38"/>
      <c r="C69" s="38"/>
      <c r="D69" s="38"/>
      <c r="E69" s="38"/>
      <c r="F69" s="38"/>
      <c r="G69" s="38"/>
      <c r="H69" s="38"/>
      <c r="I69" s="38"/>
      <c r="J69" s="53"/>
      <c r="K69" s="280"/>
      <c r="L69" s="91"/>
      <c r="M69" s="149"/>
      <c r="N69" s="60"/>
      <c r="O69" s="128"/>
      <c r="P69" s="128"/>
      <c r="T69" s="370"/>
      <c r="U69" s="303"/>
      <c r="V69" s="371"/>
      <c r="W69" s="371"/>
      <c r="X69" s="324"/>
      <c r="Y69" s="324"/>
      <c r="Z69" s="324"/>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91"/>
      <c r="DO69" s="77"/>
      <c r="DS69" s="33"/>
      <c r="DT69" s="27"/>
      <c r="DU69" s="100"/>
      <c r="DX69" s="44"/>
    </row>
    <row r="70" spans="1:128" ht="12.75" customHeight="1">
      <c r="A70" s="38"/>
      <c r="B70" s="38"/>
      <c r="C70" s="38"/>
      <c r="D70" s="38"/>
      <c r="E70" s="38"/>
      <c r="F70" s="38"/>
      <c r="G70" s="38"/>
      <c r="H70" s="38"/>
      <c r="I70" s="38"/>
      <c r="J70" s="53"/>
      <c r="K70" s="280"/>
      <c r="L70" s="91"/>
      <c r="M70" s="149"/>
      <c r="N70" s="60"/>
      <c r="O70" s="128"/>
      <c r="P70" s="128"/>
      <c r="T70" s="370"/>
      <c r="U70" s="303"/>
      <c r="V70" s="371"/>
      <c r="W70" s="371"/>
      <c r="X70" s="324"/>
      <c r="Y70" s="324"/>
      <c r="Z70" s="324"/>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91"/>
      <c r="DO70" s="77"/>
      <c r="DS70" s="33"/>
      <c r="DT70" s="27"/>
      <c r="DU70" s="100"/>
      <c r="DX70" s="44"/>
    </row>
    <row r="71" spans="1:128" ht="12.75" customHeight="1">
      <c r="A71" s="38"/>
      <c r="B71" s="38"/>
      <c r="C71" s="38"/>
      <c r="D71" s="738"/>
      <c r="E71" s="38"/>
      <c r="F71" s="38"/>
      <c r="G71" s="38"/>
      <c r="H71" s="38"/>
      <c r="I71" s="38"/>
      <c r="J71" s="53"/>
      <c r="K71" s="280"/>
      <c r="L71" s="91"/>
      <c r="M71" s="149"/>
      <c r="N71" s="60"/>
      <c r="O71" s="128"/>
      <c r="P71" s="128"/>
      <c r="T71" s="370"/>
      <c r="U71" s="303"/>
      <c r="V71" s="371"/>
      <c r="W71" s="371"/>
      <c r="X71" s="324"/>
      <c r="Y71" s="324"/>
      <c r="Z71" s="324"/>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91"/>
      <c r="DO71" s="77"/>
      <c r="DS71" s="33"/>
      <c r="DT71" s="27"/>
      <c r="DU71" s="100"/>
      <c r="DX71" s="44"/>
    </row>
    <row r="72" spans="1:128" ht="12.75" customHeight="1">
      <c r="A72" s="38"/>
      <c r="B72" s="38"/>
      <c r="C72" s="38"/>
      <c r="D72" s="38"/>
      <c r="E72" s="38"/>
      <c r="F72" s="38"/>
      <c r="G72" s="38"/>
      <c r="H72" s="38"/>
      <c r="I72" s="38"/>
      <c r="J72" s="53"/>
      <c r="K72" s="280"/>
      <c r="L72" s="91"/>
      <c r="M72" s="149"/>
      <c r="N72" s="60"/>
      <c r="O72" s="128"/>
      <c r="P72" s="128"/>
      <c r="T72" s="370"/>
      <c r="U72" s="303"/>
      <c r="V72" s="371"/>
      <c r="W72" s="371"/>
      <c r="X72" s="324"/>
      <c r="Y72" s="324"/>
      <c r="Z72" s="324"/>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91"/>
      <c r="DO72" s="77"/>
      <c r="DS72" s="33"/>
      <c r="DT72" s="27"/>
      <c r="DU72" s="100"/>
      <c r="DX72" s="44"/>
    </row>
    <row r="73" spans="1:128" ht="12.75" customHeight="1">
      <c r="A73" s="38"/>
      <c r="B73" s="38"/>
      <c r="C73" s="38"/>
      <c r="D73" s="38"/>
      <c r="E73" s="38"/>
      <c r="F73" s="38"/>
      <c r="G73" s="38"/>
      <c r="H73" s="38"/>
      <c r="I73" s="38"/>
      <c r="J73" s="53"/>
      <c r="K73" s="280"/>
      <c r="L73" s="91"/>
      <c r="M73" s="149"/>
      <c r="N73" s="60"/>
      <c r="O73" s="128"/>
      <c r="P73" s="128"/>
      <c r="T73" s="370"/>
      <c r="U73" s="303"/>
      <c r="V73" s="371"/>
      <c r="W73" s="371"/>
      <c r="X73" s="324"/>
      <c r="Y73" s="324"/>
      <c r="Z73" s="324"/>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91"/>
      <c r="DO73" s="77"/>
      <c r="DS73" s="33"/>
      <c r="DT73" s="27"/>
      <c r="DU73" s="100"/>
      <c r="DX73" s="44"/>
    </row>
    <row r="74" spans="1:128" ht="12.75" customHeight="1">
      <c r="A74" s="38"/>
      <c r="B74" s="38"/>
      <c r="C74" s="38"/>
      <c r="D74" s="38"/>
      <c r="E74" s="38"/>
      <c r="F74" s="38"/>
      <c r="G74" s="38"/>
      <c r="H74" s="38"/>
      <c r="I74" s="38"/>
      <c r="J74" s="53"/>
      <c r="K74" s="280"/>
      <c r="L74" s="91"/>
      <c r="M74" s="149"/>
      <c r="N74" s="60"/>
      <c r="O74" s="128"/>
      <c r="P74" s="128"/>
      <c r="T74" s="370"/>
      <c r="U74" s="303"/>
      <c r="V74" s="371"/>
      <c r="W74" s="371"/>
      <c r="X74" s="324"/>
      <c r="Y74" s="324"/>
      <c r="Z74" s="324"/>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91"/>
      <c r="DO74" s="77"/>
      <c r="DS74" s="33"/>
      <c r="DT74" s="27"/>
      <c r="DU74" s="100"/>
      <c r="DX74" s="44"/>
    </row>
    <row r="75" spans="1:128" ht="12.75" customHeight="1">
      <c r="A75" s="38"/>
      <c r="B75" s="38"/>
      <c r="C75" s="38"/>
      <c r="D75" s="38"/>
      <c r="E75" s="38"/>
      <c r="F75" s="38"/>
      <c r="G75" s="38"/>
      <c r="H75" s="38"/>
      <c r="I75" s="38"/>
      <c r="J75" s="53"/>
      <c r="K75" s="280"/>
      <c r="L75" s="91"/>
      <c r="M75" s="149"/>
      <c r="N75" s="60"/>
      <c r="O75" s="128"/>
      <c r="P75" s="128"/>
      <c r="T75" s="303"/>
      <c r="U75" s="1461"/>
      <c r="V75" s="371"/>
      <c r="W75" s="371"/>
      <c r="X75" s="324"/>
      <c r="Y75" s="324"/>
      <c r="Z75" s="324"/>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91"/>
      <c r="DO75" s="77"/>
      <c r="DS75" s="33"/>
      <c r="DT75" s="27"/>
      <c r="DU75" s="100"/>
      <c r="DX75" s="44"/>
    </row>
    <row r="76" spans="1:128" ht="12.75" customHeight="1">
      <c r="A76" s="38"/>
      <c r="B76" s="38"/>
      <c r="C76" s="38"/>
      <c r="D76" s="38"/>
      <c r="E76" s="38"/>
      <c r="F76" s="38"/>
      <c r="G76" s="38"/>
      <c r="H76" s="38"/>
      <c r="I76" s="38"/>
      <c r="J76" s="33"/>
      <c r="K76" s="280"/>
      <c r="L76" s="57"/>
      <c r="O76" s="77"/>
      <c r="P76" s="128"/>
      <c r="T76" s="303"/>
      <c r="U76" s="1464"/>
      <c r="V76" s="371"/>
      <c r="W76" s="371"/>
      <c r="X76" s="324"/>
      <c r="Y76" s="324"/>
      <c r="Z76" s="324"/>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91"/>
      <c r="DO76" s="77"/>
      <c r="DS76" s="33"/>
      <c r="DT76" s="27"/>
      <c r="DU76" s="100"/>
      <c r="DX76" s="44"/>
    </row>
    <row r="77" spans="1:128" ht="12.75" customHeight="1">
      <c r="A77" s="38"/>
      <c r="B77" s="741"/>
      <c r="C77" s="741"/>
      <c r="D77" s="741"/>
      <c r="E77" s="741"/>
      <c r="F77" s="741"/>
      <c r="G77" s="741"/>
      <c r="H77" s="741"/>
      <c r="I77" s="38"/>
      <c r="J77" s="33"/>
      <c r="K77" s="280"/>
      <c r="L77" s="57"/>
      <c r="O77" s="77"/>
      <c r="P77" s="128"/>
      <c r="T77" s="303"/>
      <c r="U77" s="1461"/>
      <c r="V77" s="371"/>
      <c r="W77" s="371"/>
      <c r="X77" s="324"/>
      <c r="Y77" s="324"/>
      <c r="Z77" s="324"/>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91"/>
      <c r="DO77" s="77"/>
      <c r="DS77" s="33"/>
      <c r="DT77" s="27"/>
      <c r="DU77" s="100"/>
      <c r="DX77" s="44"/>
    </row>
    <row r="78" spans="1:128" ht="12.75" customHeight="1">
      <c r="A78" s="38"/>
      <c r="B78" s="742"/>
      <c r="C78" s="743"/>
      <c r="D78" s="304"/>
      <c r="E78" s="304"/>
      <c r="F78" s="743"/>
      <c r="G78" s="743"/>
      <c r="H78" s="741"/>
      <c r="I78" s="38"/>
      <c r="J78" s="33"/>
      <c r="K78" s="280"/>
      <c r="L78" s="57"/>
      <c r="O78" s="77"/>
      <c r="P78" s="128"/>
      <c r="T78" s="303"/>
      <c r="U78" s="1464"/>
      <c r="V78" s="371"/>
      <c r="W78" s="371"/>
      <c r="X78" s="324"/>
      <c r="Y78" s="324"/>
      <c r="Z78" s="324"/>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91"/>
      <c r="DO78" s="77"/>
      <c r="DS78" s="33"/>
      <c r="DT78" s="27"/>
      <c r="DU78" s="100"/>
      <c r="DX78" s="44"/>
    </row>
    <row r="79" spans="1:128" ht="12.75" customHeight="1">
      <c r="A79" s="38"/>
      <c r="B79" s="744"/>
      <c r="C79" s="745"/>
      <c r="D79" s="746"/>
      <c r="E79" s="747"/>
      <c r="F79" s="746"/>
      <c r="G79" s="746"/>
      <c r="H79" s="746"/>
      <c r="I79" s="38"/>
      <c r="J79" s="33"/>
      <c r="K79" s="280"/>
      <c r="L79" s="57"/>
      <c r="O79" s="77"/>
      <c r="P79" s="128"/>
      <c r="T79" s="370"/>
      <c r="U79" s="303"/>
      <c r="V79" s="371"/>
      <c r="W79" s="371"/>
      <c r="X79" s="324"/>
      <c r="Y79" s="324"/>
      <c r="Z79" s="324"/>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91"/>
      <c r="DO79" s="77"/>
      <c r="DS79" s="33"/>
      <c r="DT79" s="27"/>
      <c r="DU79" s="100"/>
      <c r="DX79" s="44"/>
    </row>
    <row r="80" spans="1:128" ht="12.75" customHeight="1">
      <c r="A80" s="38"/>
      <c r="B80" s="744"/>
      <c r="C80" s="745"/>
      <c r="D80" s="746"/>
      <c r="E80" s="747"/>
      <c r="F80" s="746"/>
      <c r="G80" s="746"/>
      <c r="H80" s="746"/>
      <c r="I80" s="38"/>
      <c r="J80" s="33"/>
      <c r="K80" s="280"/>
      <c r="L80" s="57"/>
      <c r="O80" s="77"/>
      <c r="P80" s="128"/>
      <c r="T80" s="370"/>
      <c r="U80" s="303"/>
      <c r="V80" s="371"/>
      <c r="W80" s="371"/>
      <c r="X80" s="324"/>
      <c r="Y80" s="324"/>
      <c r="Z80" s="324"/>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91"/>
      <c r="DO80" s="77"/>
      <c r="DS80" s="33"/>
      <c r="DT80" s="27"/>
      <c r="DU80" s="100"/>
      <c r="DX80" s="44"/>
    </row>
    <row r="81" spans="1:128" ht="12.75" customHeight="1">
      <c r="A81" s="38"/>
      <c r="B81" s="744"/>
      <c r="C81" s="745"/>
      <c r="D81" s="746"/>
      <c r="E81" s="747"/>
      <c r="F81" s="746"/>
      <c r="G81" s="746"/>
      <c r="H81" s="746"/>
      <c r="I81" s="38"/>
      <c r="J81" s="33"/>
      <c r="K81" s="280"/>
      <c r="L81" s="57"/>
      <c r="O81" s="77"/>
      <c r="P81" s="128"/>
      <c r="T81" s="721"/>
      <c r="U81" s="303"/>
      <c r="V81" s="303"/>
      <c r="W81" s="303"/>
      <c r="X81" s="303"/>
      <c r="Y81" s="303"/>
      <c r="Z81" s="30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91"/>
      <c r="DO81" s="77"/>
      <c r="DS81" s="33"/>
      <c r="DT81" s="27"/>
      <c r="DU81" s="100"/>
      <c r="DX81" s="44"/>
    </row>
    <row r="82" spans="1:128" ht="12.75" customHeight="1">
      <c r="A82" s="38"/>
      <c r="B82" s="744"/>
      <c r="C82" s="745"/>
      <c r="D82" s="738"/>
      <c r="E82" s="747"/>
      <c r="F82" s="746"/>
      <c r="G82" s="746"/>
      <c r="H82" s="746"/>
      <c r="I82" s="38"/>
      <c r="J82" s="33"/>
      <c r="K82" s="280"/>
      <c r="L82" s="57"/>
      <c r="O82" s="77"/>
      <c r="P82" s="128"/>
      <c r="T82" s="370"/>
      <c r="U82" s="303"/>
      <c r="V82" s="371"/>
      <c r="W82" s="371"/>
      <c r="X82" s="324"/>
      <c r="Y82" s="324"/>
      <c r="Z82" s="324"/>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91"/>
      <c r="DO82" s="77"/>
      <c r="DS82" s="33"/>
      <c r="DT82" s="27"/>
      <c r="DU82" s="100"/>
      <c r="DX82" s="44"/>
    </row>
    <row r="83" spans="1:128" ht="12.75" customHeight="1">
      <c r="A83" s="38"/>
      <c r="B83" s="744"/>
      <c r="C83" s="745"/>
      <c r="D83" s="738"/>
      <c r="E83" s="747"/>
      <c r="F83" s="746"/>
      <c r="G83" s="746"/>
      <c r="H83" s="746"/>
      <c r="I83" s="38"/>
      <c r="J83" s="33"/>
      <c r="K83" s="280"/>
      <c r="L83" s="57"/>
      <c r="O83" s="77"/>
      <c r="P83" s="128"/>
      <c r="T83" s="370"/>
      <c r="U83" s="303"/>
      <c r="V83" s="371"/>
      <c r="W83" s="371"/>
      <c r="X83" s="324"/>
      <c r="Y83" s="324"/>
      <c r="Z83" s="324"/>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91"/>
      <c r="DO83" s="77"/>
      <c r="DS83" s="33"/>
      <c r="DT83" s="27"/>
      <c r="DU83" s="100"/>
      <c r="DX83" s="44"/>
    </row>
    <row r="84" spans="1:128" ht="12.75" customHeight="1">
      <c r="A84" s="38"/>
      <c r="B84" s="744"/>
      <c r="C84" s="745"/>
      <c r="D84" s="738"/>
      <c r="E84" s="747"/>
      <c r="F84" s="746"/>
      <c r="G84" s="746"/>
      <c r="H84" s="746"/>
      <c r="I84" s="38"/>
      <c r="J84" s="33"/>
      <c r="K84" s="280"/>
      <c r="L84" s="57"/>
      <c r="O84" s="77"/>
      <c r="P84" s="128"/>
      <c r="T84" s="370"/>
      <c r="U84" s="303"/>
      <c r="V84" s="371"/>
      <c r="W84" s="371"/>
      <c r="X84" s="324"/>
      <c r="Y84" s="324"/>
      <c r="Z84" s="324"/>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91"/>
      <c r="DO84" s="77"/>
      <c r="DS84" s="33"/>
      <c r="DT84" s="27"/>
      <c r="DU84" s="100"/>
      <c r="DX84" s="44"/>
    </row>
    <row r="85" spans="1:128" ht="12.75" customHeight="1">
      <c r="A85" s="38"/>
      <c r="B85" s="744"/>
      <c r="C85" s="745"/>
      <c r="D85" s="738"/>
      <c r="E85" s="747"/>
      <c r="F85" s="746"/>
      <c r="G85" s="746"/>
      <c r="H85" s="746"/>
      <c r="I85" s="38"/>
      <c r="J85" s="975"/>
      <c r="K85" s="280"/>
      <c r="L85" s="975"/>
      <c r="M85" s="975"/>
      <c r="O85" s="77"/>
      <c r="P85" s="128"/>
      <c r="T85" s="370"/>
      <c r="U85" s="303"/>
      <c r="V85" s="371"/>
      <c r="W85" s="371"/>
      <c r="X85" s="324"/>
      <c r="Y85" s="324"/>
      <c r="Z85" s="324"/>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91"/>
      <c r="DO85" s="77"/>
      <c r="DS85" s="33"/>
      <c r="DT85" s="27"/>
      <c r="DU85" s="100"/>
      <c r="DX85" s="44"/>
    </row>
    <row r="86" spans="1:128" ht="12.75" customHeight="1">
      <c r="A86" s="38"/>
      <c r="B86" s="744"/>
      <c r="C86" s="745"/>
      <c r="D86" s="738"/>
      <c r="E86" s="747"/>
      <c r="F86" s="746"/>
      <c r="G86" s="746"/>
      <c r="H86" s="746"/>
      <c r="I86" s="38"/>
      <c r="J86" s="975"/>
      <c r="K86" s="280"/>
      <c r="L86" s="975"/>
      <c r="M86" s="975"/>
      <c r="O86" s="77"/>
      <c r="P86" s="128"/>
      <c r="T86" s="370"/>
      <c r="U86" s="303"/>
      <c r="V86" s="371"/>
      <c r="W86" s="371"/>
      <c r="X86" s="324"/>
      <c r="Y86" s="324"/>
      <c r="Z86" s="324"/>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91"/>
      <c r="DO86" s="77"/>
      <c r="DS86" s="33"/>
      <c r="DT86" s="27"/>
      <c r="DU86" s="100"/>
      <c r="DX86" s="44"/>
    </row>
    <row r="87" spans="1:128" ht="12.75" customHeight="1">
      <c r="A87" s="38"/>
      <c r="B87" s="744"/>
      <c r="C87" s="745"/>
      <c r="D87" s="738"/>
      <c r="E87" s="747"/>
      <c r="F87" s="746"/>
      <c r="G87" s="746"/>
      <c r="H87" s="746"/>
      <c r="I87" s="38"/>
      <c r="J87" s="170"/>
      <c r="K87" s="280"/>
      <c r="L87" s="748"/>
      <c r="M87" s="976"/>
      <c r="O87" s="77"/>
      <c r="P87" s="128"/>
      <c r="T87" s="370"/>
      <c r="U87" s="303"/>
      <c r="V87" s="371"/>
      <c r="W87" s="371"/>
      <c r="X87" s="324"/>
      <c r="Y87" s="324"/>
      <c r="Z87" s="324"/>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91"/>
      <c r="DO87" s="77"/>
      <c r="DS87" s="33"/>
      <c r="DT87" s="27"/>
      <c r="DU87" s="100"/>
      <c r="DX87" s="44"/>
    </row>
    <row r="88" spans="1:128" ht="12.75" customHeight="1">
      <c r="A88" s="38"/>
      <c r="B88" s="744"/>
      <c r="C88" s="745"/>
      <c r="D88" s="738"/>
      <c r="E88" s="747"/>
      <c r="F88" s="746"/>
      <c r="G88" s="746"/>
      <c r="H88" s="746"/>
      <c r="I88" s="38"/>
      <c r="J88" s="748"/>
      <c r="K88" s="280"/>
      <c r="L88" s="748"/>
      <c r="M88" s="975"/>
      <c r="N88" s="33"/>
      <c r="O88" s="33"/>
      <c r="P88" s="128"/>
      <c r="T88" s="370"/>
      <c r="U88" s="303"/>
      <c r="V88" s="371"/>
      <c r="W88" s="371"/>
      <c r="X88" s="324"/>
      <c r="Y88" s="324"/>
      <c r="Z88" s="324"/>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91"/>
      <c r="DO88" s="77"/>
      <c r="DS88" s="33"/>
      <c r="DT88" s="27"/>
      <c r="DU88" s="100"/>
      <c r="DX88" s="44"/>
    </row>
    <row r="89" spans="1:128" ht="12.75" customHeight="1">
      <c r="A89" s="38"/>
      <c r="B89" s="749"/>
      <c r="C89" s="745"/>
      <c r="D89" s="741"/>
      <c r="E89" s="747"/>
      <c r="F89" s="750"/>
      <c r="G89" s="746"/>
      <c r="H89" s="741"/>
      <c r="I89" s="38"/>
      <c r="J89" s="748"/>
      <c r="L89" s="748"/>
      <c r="M89" s="975"/>
      <c r="N89" s="44"/>
      <c r="O89" s="100"/>
      <c r="P89" s="128"/>
      <c r="T89" s="370"/>
      <c r="U89" s="303"/>
      <c r="V89" s="371"/>
      <c r="W89" s="371"/>
      <c r="X89" s="324"/>
      <c r="Y89" s="324"/>
      <c r="Z89" s="324"/>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91"/>
      <c r="DO89" s="77"/>
      <c r="DS89" s="33"/>
      <c r="DT89" s="27"/>
      <c r="DU89" s="33"/>
      <c r="DX89" s="44"/>
    </row>
    <row r="90" spans="1:128" ht="12.75" customHeight="1">
      <c r="A90" s="38"/>
      <c r="B90" s="38"/>
      <c r="C90" s="38"/>
      <c r="D90" s="38"/>
      <c r="E90" s="38"/>
      <c r="F90" s="38"/>
      <c r="G90" s="38"/>
      <c r="H90" s="38"/>
      <c r="I90" s="38"/>
      <c r="J90" s="748"/>
      <c r="L90" s="748"/>
      <c r="M90" s="975"/>
      <c r="N90" s="44"/>
      <c r="O90" s="100"/>
      <c r="P90" s="128"/>
      <c r="T90" s="303"/>
      <c r="U90" s="1461"/>
      <c r="V90" s="371"/>
      <c r="W90" s="371"/>
      <c r="X90" s="324"/>
      <c r="Y90" s="324"/>
      <c r="Z90" s="324"/>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91"/>
      <c r="DO90" s="77"/>
      <c r="DS90" s="33"/>
      <c r="DT90" s="27"/>
      <c r="DU90" s="100"/>
      <c r="DX90" s="44"/>
    </row>
    <row r="91" spans="1:128" ht="12.75" customHeight="1">
      <c r="A91" s="38"/>
      <c r="B91" s="38"/>
      <c r="C91" s="38"/>
      <c r="D91" s="38"/>
      <c r="E91" s="38"/>
      <c r="F91" s="38"/>
      <c r="G91" s="38"/>
      <c r="H91" s="38"/>
      <c r="I91" s="38"/>
      <c r="J91" s="748"/>
      <c r="L91" s="748"/>
      <c r="M91" s="975"/>
      <c r="N91" s="53"/>
      <c r="O91" s="100"/>
      <c r="P91" s="128"/>
      <c r="T91" s="303"/>
      <c r="U91" s="1464"/>
      <c r="V91" s="371"/>
      <c r="W91" s="371"/>
      <c r="X91" s="725"/>
      <c r="Y91" s="324"/>
      <c r="Z91" s="324"/>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91"/>
      <c r="DO91" s="77"/>
      <c r="DS91" s="33"/>
      <c r="DT91" s="27"/>
      <c r="DU91" s="33"/>
      <c r="DX91" s="44"/>
    </row>
    <row r="92" spans="1:128" ht="12.75" customHeight="1">
      <c r="A92" s="38"/>
      <c r="B92" s="38"/>
      <c r="C92" s="38"/>
      <c r="D92" s="38"/>
      <c r="E92" s="38"/>
      <c r="F92" s="38"/>
      <c r="G92" s="38"/>
      <c r="H92" s="38"/>
      <c r="I92" s="38"/>
      <c r="J92" s="748"/>
      <c r="L92" s="748"/>
      <c r="M92" s="179"/>
      <c r="N92" s="53"/>
      <c r="O92" s="100"/>
      <c r="P92" s="303"/>
      <c r="T92" s="303"/>
      <c r="U92" s="1461"/>
      <c r="V92" s="371"/>
      <c r="W92" s="371"/>
      <c r="X92" s="324"/>
      <c r="Y92" s="324"/>
      <c r="Z92" s="324"/>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91"/>
      <c r="DO92" s="77"/>
      <c r="DS92" s="33"/>
      <c r="DT92" s="27"/>
      <c r="DU92" s="33"/>
      <c r="DX92" s="44"/>
    </row>
    <row r="93" spans="1:128" ht="12.75" customHeight="1">
      <c r="A93" s="38"/>
      <c r="B93" s="38"/>
      <c r="C93" s="38"/>
      <c r="D93" s="38"/>
      <c r="E93" s="38"/>
      <c r="F93" s="38"/>
      <c r="G93" s="38"/>
      <c r="H93" s="38"/>
      <c r="I93" s="38"/>
      <c r="J93" s="748"/>
      <c r="L93" s="748"/>
      <c r="M93" s="179"/>
      <c r="N93" s="53"/>
      <c r="O93" s="100"/>
      <c r="P93" s="303"/>
      <c r="T93" s="303"/>
      <c r="U93" s="1464"/>
      <c r="V93" s="303"/>
      <c r="W93" s="303"/>
      <c r="X93" s="725"/>
      <c r="Y93" s="324"/>
      <c r="Z93" s="324"/>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91"/>
      <c r="DO93" s="77"/>
      <c r="DS93" s="33"/>
      <c r="DT93" s="27"/>
      <c r="DU93" s="100"/>
      <c r="DX93" s="44"/>
    </row>
    <row r="94" spans="1:128" ht="12.75" customHeight="1">
      <c r="A94" s="38"/>
      <c r="B94" s="38"/>
      <c r="C94" s="738"/>
      <c r="D94" s="38"/>
      <c r="E94" s="38"/>
      <c r="F94" s="38"/>
      <c r="G94" s="38"/>
      <c r="H94" s="38"/>
      <c r="I94" s="38"/>
      <c r="J94" s="748"/>
      <c r="L94" s="748"/>
      <c r="M94" s="53"/>
      <c r="N94" s="751"/>
      <c r="O94" s="33"/>
      <c r="P94" s="303"/>
      <c r="T94" s="303"/>
      <c r="U94" s="1464"/>
      <c r="V94" s="725"/>
      <c r="W94" s="725"/>
      <c r="X94" s="725"/>
      <c r="Y94" s="324"/>
      <c r="Z94" s="324"/>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91"/>
      <c r="DO94" s="77"/>
      <c r="DS94" s="33"/>
      <c r="DT94" s="27"/>
      <c r="DU94" s="100"/>
      <c r="DX94" s="44"/>
    </row>
    <row r="95" spans="1:128" ht="12.75" customHeight="1">
      <c r="A95" s="38"/>
      <c r="B95" s="38"/>
      <c r="C95" s="738"/>
      <c r="D95" s="304"/>
      <c r="E95" s="38"/>
      <c r="F95" s="38"/>
      <c r="G95" s="38"/>
      <c r="H95" s="38"/>
      <c r="I95" s="38"/>
      <c r="J95" s="748"/>
      <c r="L95" s="748"/>
      <c r="M95" s="53"/>
      <c r="N95" s="751"/>
      <c r="O95" s="33"/>
      <c r="P95" s="128"/>
      <c r="T95" s="721"/>
      <c r="U95" s="303"/>
      <c r="V95" s="303"/>
      <c r="W95" s="303"/>
      <c r="X95" s="303"/>
      <c r="Y95" s="324"/>
      <c r="Z95" s="324"/>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91"/>
      <c r="DO95" s="77"/>
      <c r="DS95" s="33"/>
      <c r="DT95" s="27"/>
      <c r="DU95" s="100"/>
      <c r="DX95" s="44"/>
    </row>
    <row r="96" spans="1:128" ht="12.75" customHeight="1">
      <c r="A96" s="38"/>
      <c r="B96" s="38"/>
      <c r="C96" s="738"/>
      <c r="D96" s="304"/>
      <c r="E96" s="38"/>
      <c r="F96" s="38"/>
      <c r="G96" s="38"/>
      <c r="H96" s="38"/>
      <c r="I96" s="38"/>
      <c r="J96" s="748"/>
      <c r="L96" s="748"/>
      <c r="M96" s="53"/>
      <c r="N96" s="751"/>
      <c r="O96" s="100"/>
      <c r="P96" s="128"/>
      <c r="T96" s="370"/>
      <c r="U96" s="303"/>
      <c r="V96" s="371"/>
      <c r="W96" s="371"/>
      <c r="X96" s="324"/>
      <c r="Y96" s="324"/>
      <c r="Z96" s="324"/>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91"/>
      <c r="DO96" s="77"/>
    </row>
    <row r="97" spans="1:119" ht="12.75" customHeight="1">
      <c r="A97" s="38"/>
      <c r="B97" s="38"/>
      <c r="C97" s="738"/>
      <c r="D97" s="304"/>
      <c r="E97" s="38"/>
      <c r="F97" s="38"/>
      <c r="G97" s="38"/>
      <c r="H97" s="38"/>
      <c r="I97" s="38"/>
      <c r="J97" s="748"/>
      <c r="L97" s="748"/>
      <c r="M97" s="57"/>
      <c r="N97" s="53"/>
      <c r="O97" s="100"/>
      <c r="P97" s="128"/>
      <c r="T97" s="370"/>
      <c r="U97" s="303"/>
      <c r="V97" s="371"/>
      <c r="W97" s="371"/>
      <c r="X97" s="324"/>
      <c r="Y97" s="324"/>
      <c r="Z97" s="324"/>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91"/>
      <c r="DO97" s="77"/>
    </row>
    <row r="98" spans="1:119" ht="12.75" customHeight="1">
      <c r="A98" s="38"/>
      <c r="B98" s="38"/>
      <c r="C98" s="738"/>
      <c r="D98" s="304"/>
      <c r="E98" s="38"/>
      <c r="F98" s="38"/>
      <c r="G98" s="38"/>
      <c r="H98" s="38"/>
      <c r="I98" s="38"/>
      <c r="J98" s="748"/>
      <c r="L98" s="748"/>
      <c r="M98" s="33"/>
      <c r="N98" s="33"/>
      <c r="O98" s="33"/>
      <c r="P98" s="128"/>
      <c r="T98" s="370"/>
      <c r="U98" s="303"/>
      <c r="V98" s="371"/>
      <c r="W98" s="371"/>
      <c r="X98" s="324"/>
      <c r="Y98" s="324"/>
      <c r="Z98" s="324"/>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91"/>
      <c r="DO98" s="77"/>
    </row>
    <row r="99" spans="1:119" ht="12.75" customHeight="1">
      <c r="A99" s="38"/>
      <c r="B99" s="38"/>
      <c r="C99" s="738"/>
      <c r="D99" s="304"/>
      <c r="E99" s="38"/>
      <c r="F99" s="38"/>
      <c r="G99" s="38"/>
      <c r="H99" s="38"/>
      <c r="I99" s="38"/>
      <c r="J99" s="33"/>
      <c r="L99" s="182"/>
      <c r="M99" s="33"/>
      <c r="N99" s="44"/>
      <c r="O99" s="100"/>
      <c r="P99" s="128"/>
      <c r="T99" s="370"/>
      <c r="U99" s="303"/>
      <c r="V99" s="371"/>
      <c r="W99" s="371"/>
      <c r="X99" s="324"/>
      <c r="Y99" s="25"/>
      <c r="Z99" s="25"/>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91"/>
      <c r="DO99" s="77"/>
    </row>
    <row r="100" spans="1:119" ht="12.75" customHeight="1">
      <c r="A100" s="752"/>
      <c r="B100" s="738"/>
      <c r="C100" s="38"/>
      <c r="D100" s="38"/>
      <c r="E100" s="38"/>
      <c r="F100" s="38"/>
      <c r="G100" s="38"/>
      <c r="H100" s="38"/>
      <c r="I100" s="38"/>
      <c r="J100" s="33"/>
      <c r="L100" s="179"/>
      <c r="M100" s="179"/>
      <c r="N100" s="53"/>
      <c r="O100" s="100"/>
      <c r="P100" s="128"/>
      <c r="T100" s="303"/>
      <c r="U100" s="1461"/>
      <c r="V100" s="371"/>
      <c r="W100" s="371"/>
      <c r="X100" s="324"/>
      <c r="Y100" s="25"/>
      <c r="Z100" s="25"/>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91"/>
      <c r="DO100" s="77"/>
    </row>
    <row r="101" spans="1:119" ht="12.75" customHeight="1">
      <c r="A101" s="38"/>
      <c r="B101" s="738"/>
      <c r="C101" s="38"/>
      <c r="D101" s="38"/>
      <c r="E101" s="38"/>
      <c r="F101" s="38"/>
      <c r="G101" s="38"/>
      <c r="H101" s="38"/>
      <c r="I101" s="977"/>
      <c r="J101" s="33"/>
      <c r="L101" s="179"/>
      <c r="M101" s="179"/>
      <c r="N101" s="53"/>
      <c r="O101" s="100"/>
      <c r="P101" s="128"/>
      <c r="T101" s="303"/>
      <c r="U101" s="1464"/>
      <c r="V101" s="725"/>
      <c r="W101" s="725"/>
      <c r="X101" s="725"/>
      <c r="Y101" s="25"/>
      <c r="Z101" s="25"/>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91"/>
      <c r="DO101" s="77"/>
    </row>
    <row r="102" spans="1:119" ht="12.75" customHeight="1">
      <c r="A102" s="38"/>
      <c r="B102" s="738"/>
      <c r="C102" s="38"/>
      <c r="D102" s="38"/>
      <c r="E102" s="38"/>
      <c r="F102" s="38"/>
      <c r="G102" s="38"/>
      <c r="H102" s="38"/>
      <c r="I102" s="38"/>
      <c r="J102" s="33"/>
      <c r="L102" s="179"/>
      <c r="M102" s="179"/>
      <c r="N102" s="53"/>
      <c r="O102" s="100"/>
      <c r="P102" s="128"/>
      <c r="T102" s="303"/>
      <c r="U102" s="303"/>
      <c r="V102" s="303"/>
      <c r="W102" s="303"/>
      <c r="X102" s="303"/>
      <c r="Y102" s="303"/>
      <c r="Z102" s="30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91"/>
      <c r="DO102" s="77"/>
    </row>
    <row r="103" spans="1:119" ht="12.75" customHeight="1">
      <c r="A103" s="38"/>
      <c r="B103" s="38"/>
      <c r="C103" s="38"/>
      <c r="D103" s="38"/>
      <c r="E103" s="38"/>
      <c r="F103" s="38"/>
      <c r="G103" s="38"/>
      <c r="H103" s="38"/>
      <c r="I103" s="38"/>
      <c r="J103" s="33"/>
      <c r="K103" s="27"/>
      <c r="M103" s="91"/>
      <c r="N103" s="60"/>
      <c r="O103" s="128"/>
      <c r="P103" s="128"/>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91"/>
      <c r="DO103" s="77"/>
    </row>
    <row r="104" spans="1:119" ht="12.75" customHeight="1">
      <c r="A104" s="38"/>
      <c r="B104" s="38"/>
      <c r="C104" s="38"/>
      <c r="D104" s="38"/>
      <c r="E104" s="38"/>
      <c r="F104" s="38"/>
      <c r="G104" s="38"/>
      <c r="H104" s="38"/>
      <c r="I104" s="38"/>
      <c r="J104" s="33"/>
      <c r="K104" s="25"/>
      <c r="L104" s="33"/>
      <c r="M104" s="57"/>
      <c r="N104" s="60"/>
      <c r="O104" s="128"/>
      <c r="P104" s="128"/>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91"/>
      <c r="DO104" s="77"/>
    </row>
    <row r="105" spans="1:119" ht="12.75" customHeight="1">
      <c r="A105" s="38"/>
      <c r="B105" s="38"/>
      <c r="C105" s="38"/>
      <c r="D105" s="38"/>
      <c r="E105" s="38"/>
      <c r="F105" s="38"/>
      <c r="G105" s="38"/>
      <c r="H105" s="38"/>
      <c r="I105" s="38"/>
      <c r="J105" s="33"/>
      <c r="K105" s="25"/>
      <c r="L105" s="33"/>
      <c r="M105" s="33"/>
      <c r="O105" s="77"/>
      <c r="P105" s="128"/>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91"/>
      <c r="DO105" s="77"/>
    </row>
    <row r="106" spans="1:119" ht="12.75" customHeight="1">
      <c r="A106" s="38"/>
      <c r="B106" s="38"/>
      <c r="C106" s="38"/>
      <c r="D106" s="38"/>
      <c r="E106" s="38"/>
      <c r="F106" s="38"/>
      <c r="G106" s="38"/>
      <c r="H106" s="38"/>
      <c r="I106" s="38"/>
      <c r="J106" s="33"/>
      <c r="K106" s="25"/>
      <c r="L106" s="33"/>
      <c r="M106" s="57"/>
      <c r="N106" s="53"/>
      <c r="O106" s="128"/>
      <c r="P106" s="128"/>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91"/>
      <c r="DO106" s="77"/>
    </row>
    <row r="107" spans="1:119" ht="12.75" customHeight="1">
      <c r="A107" s="89"/>
      <c r="B107" s="89"/>
      <c r="C107" s="89"/>
      <c r="D107" s="89"/>
      <c r="E107" s="89"/>
      <c r="F107" s="89"/>
      <c r="G107" s="89"/>
      <c r="H107" s="89"/>
      <c r="I107" s="89"/>
      <c r="J107" s="33"/>
      <c r="K107" s="25"/>
      <c r="L107" s="33"/>
      <c r="M107" s="57"/>
      <c r="N107" s="191"/>
      <c r="O107" s="128"/>
      <c r="P107" s="128"/>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91"/>
      <c r="DO107" s="77"/>
    </row>
    <row r="108" spans="1:119" ht="12.75" customHeight="1">
      <c r="A108" s="89"/>
      <c r="B108" s="89"/>
      <c r="C108" s="89"/>
      <c r="D108" s="89"/>
      <c r="E108" s="89"/>
      <c r="F108" s="89"/>
      <c r="G108" s="89"/>
      <c r="H108" s="89"/>
      <c r="I108" s="89"/>
      <c r="J108" s="33"/>
      <c r="K108" s="25"/>
      <c r="L108" s="33"/>
      <c r="M108" s="190"/>
      <c r="N108" s="191"/>
      <c r="O108" s="128"/>
      <c r="P108" s="129"/>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91"/>
      <c r="DO108" s="77"/>
    </row>
    <row r="109" spans="1:119" ht="12.75" customHeight="1">
      <c r="A109" s="89"/>
      <c r="B109" s="89"/>
      <c r="C109" s="89"/>
      <c r="D109" s="89"/>
      <c r="E109" s="89"/>
      <c r="F109" s="89"/>
      <c r="G109" s="89"/>
      <c r="H109" s="89"/>
      <c r="I109" s="89"/>
      <c r="J109" s="33"/>
      <c r="K109" s="25"/>
      <c r="L109" s="33"/>
      <c r="M109" s="190"/>
      <c r="N109" s="191"/>
      <c r="O109" s="128"/>
      <c r="P109" s="129"/>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91"/>
      <c r="DO109" s="77"/>
    </row>
    <row r="110" spans="1:119" ht="12.75" customHeight="1">
      <c r="A110" s="89"/>
      <c r="B110" s="89"/>
      <c r="C110" s="89"/>
      <c r="D110" s="89"/>
      <c r="E110" s="89"/>
      <c r="F110" s="89"/>
      <c r="G110" s="89"/>
      <c r="H110" s="234"/>
      <c r="I110" s="220"/>
      <c r="J110" s="33"/>
      <c r="K110" s="25"/>
      <c r="L110" s="33"/>
      <c r="M110" s="193"/>
      <c r="N110" s="27"/>
      <c r="O110" s="128"/>
      <c r="P110" s="128"/>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91"/>
      <c r="DO110" s="77"/>
    </row>
    <row r="111" spans="1:119" ht="12.75" customHeight="1">
      <c r="A111" s="89"/>
      <c r="B111" s="89"/>
      <c r="C111" s="89"/>
      <c r="D111" s="89"/>
      <c r="E111" s="89"/>
      <c r="F111" s="89"/>
      <c r="G111" s="89"/>
      <c r="H111" s="978"/>
      <c r="I111" s="979"/>
      <c r="J111" s="33"/>
      <c r="K111" s="25"/>
      <c r="L111" s="33"/>
      <c r="M111" s="33"/>
      <c r="O111" s="77"/>
      <c r="P111" s="128"/>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91"/>
      <c r="DO111" s="77"/>
    </row>
    <row r="112" spans="1:119" ht="12.75" customHeight="1">
      <c r="A112" s="89"/>
      <c r="B112" s="89"/>
      <c r="C112" s="89"/>
      <c r="D112" s="89"/>
      <c r="E112" s="89"/>
      <c r="F112" s="89"/>
      <c r="G112" s="89"/>
      <c r="H112" s="89"/>
      <c r="I112" s="56"/>
      <c r="J112" s="33"/>
      <c r="K112" s="25"/>
      <c r="L112" s="33"/>
      <c r="M112" s="179"/>
      <c r="N112" s="196"/>
      <c r="O112" s="128"/>
      <c r="P112" s="128"/>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91"/>
      <c r="DO112" s="77"/>
    </row>
    <row r="113" spans="1:119" ht="12.75" customHeight="1">
      <c r="A113" s="89"/>
      <c r="B113" s="89"/>
      <c r="C113" s="89"/>
      <c r="D113" s="89"/>
      <c r="E113" s="89"/>
      <c r="F113" s="89"/>
      <c r="G113" s="89"/>
      <c r="H113" s="56"/>
      <c r="I113" s="726"/>
      <c r="J113" s="33"/>
      <c r="K113" s="25"/>
      <c r="L113" s="33"/>
      <c r="M113" s="179"/>
      <c r="N113" s="60"/>
      <c r="O113" s="128"/>
      <c r="P113" s="128"/>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91"/>
      <c r="DO113" s="77"/>
    </row>
    <row r="114" spans="1:119">
      <c r="A114" s="89"/>
      <c r="B114" s="89"/>
      <c r="C114" s="89"/>
      <c r="D114" s="89"/>
      <c r="E114" s="89"/>
      <c r="F114" s="89"/>
      <c r="G114" s="89"/>
      <c r="H114" s="56"/>
      <c r="I114" s="727"/>
      <c r="J114" s="33"/>
      <c r="K114" s="25"/>
      <c r="L114" s="33"/>
      <c r="M114" s="199"/>
      <c r="N114" s="60"/>
      <c r="O114" s="188"/>
      <c r="P114" s="100"/>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91"/>
      <c r="DO114" s="77"/>
    </row>
    <row r="115" spans="1:119">
      <c r="A115" s="89"/>
      <c r="B115" s="89"/>
      <c r="C115" s="89"/>
      <c r="D115" s="89"/>
      <c r="E115" s="89"/>
      <c r="F115" s="89"/>
      <c r="G115" s="89"/>
      <c r="H115" s="56"/>
      <c r="I115" s="25"/>
      <c r="J115" s="33"/>
      <c r="K115" s="25"/>
      <c r="L115" s="33"/>
      <c r="M115" s="33"/>
      <c r="N115" s="91"/>
      <c r="O115" s="128"/>
      <c r="P115" s="128"/>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91"/>
      <c r="DO115" s="77"/>
    </row>
    <row r="116" spans="1:119">
      <c r="A116" s="89"/>
      <c r="B116" s="89"/>
      <c r="C116" s="89"/>
      <c r="D116" s="89"/>
      <c r="E116" s="89"/>
      <c r="F116" s="89"/>
      <c r="G116" s="89"/>
      <c r="H116" s="56"/>
      <c r="I116" s="201"/>
      <c r="J116" s="33"/>
      <c r="K116" s="25"/>
      <c r="L116" s="33"/>
      <c r="M116" s="57"/>
      <c r="N116" s="60"/>
      <c r="O116" s="128"/>
      <c r="P116" s="128"/>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91"/>
      <c r="DO116" s="60"/>
    </row>
    <row r="117" spans="1:119">
      <c r="A117" s="246"/>
      <c r="B117" s="89"/>
      <c r="C117" s="89"/>
      <c r="D117" s="89"/>
      <c r="E117" s="89"/>
      <c r="F117" s="89"/>
      <c r="G117" s="89"/>
      <c r="H117" s="89"/>
      <c r="I117" s="89"/>
      <c r="J117" s="33"/>
      <c r="K117" s="25"/>
      <c r="L117" s="33"/>
      <c r="M117" s="187"/>
      <c r="N117" s="60"/>
      <c r="O117" s="128"/>
      <c r="P117" s="128"/>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91"/>
      <c r="DO117" s="77"/>
    </row>
    <row r="118" spans="1:119" ht="15.75">
      <c r="A118" s="980"/>
      <c r="B118" s="89"/>
      <c r="C118" s="89"/>
      <c r="D118" s="89"/>
      <c r="E118" s="89"/>
      <c r="F118" s="89"/>
      <c r="G118" s="89"/>
      <c r="H118" s="89"/>
      <c r="I118" s="89"/>
      <c r="J118" s="33"/>
      <c r="K118" s="25"/>
      <c r="L118" s="33"/>
      <c r="M118" s="187"/>
      <c r="N118" s="60"/>
      <c r="O118" s="128"/>
      <c r="P118" s="128"/>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91"/>
      <c r="DO118" s="77"/>
    </row>
    <row r="119" spans="1:119" ht="15.75">
      <c r="A119" s="980"/>
      <c r="B119" s="89"/>
      <c r="C119" s="89"/>
      <c r="D119" s="89"/>
      <c r="E119" s="89"/>
      <c r="F119" s="89"/>
      <c r="G119" s="89"/>
      <c r="H119" s="89"/>
      <c r="I119" s="89"/>
      <c r="J119" s="33"/>
      <c r="K119" s="25"/>
      <c r="L119" s="33"/>
      <c r="M119" s="57"/>
      <c r="N119" s="60"/>
      <c r="O119" s="128"/>
      <c r="P119" s="128"/>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91"/>
      <c r="DO119" s="77"/>
    </row>
    <row r="120" spans="1:119" ht="16.5">
      <c r="A120" s="89"/>
      <c r="B120" s="89"/>
      <c r="C120" s="89"/>
      <c r="D120" s="89"/>
      <c r="E120" s="89"/>
      <c r="F120" s="89"/>
      <c r="G120" s="89"/>
      <c r="H120" s="981"/>
      <c r="I120" s="56"/>
      <c r="J120" s="33"/>
      <c r="K120" s="25"/>
      <c r="L120" s="33"/>
      <c r="M120" s="57"/>
      <c r="N120" s="60"/>
      <c r="O120" s="128"/>
      <c r="P120" s="128"/>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91"/>
      <c r="DO120" s="77"/>
    </row>
    <row r="121" spans="1:119">
      <c r="A121" s="982"/>
      <c r="B121" s="89"/>
      <c r="C121" s="89"/>
      <c r="D121" s="89"/>
      <c r="E121" s="89"/>
      <c r="F121" s="89"/>
      <c r="G121" s="89"/>
      <c r="H121" s="983"/>
      <c r="I121" s="979"/>
      <c r="J121" s="33"/>
      <c r="K121" s="25"/>
      <c r="L121" s="33"/>
      <c r="M121" s="57"/>
      <c r="N121" s="60"/>
      <c r="O121" s="128"/>
      <c r="P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91"/>
      <c r="DO121" s="77"/>
    </row>
    <row r="122" spans="1:119">
      <c r="A122" s="68"/>
      <c r="B122" s="722"/>
      <c r="C122" s="89"/>
      <c r="D122" s="89"/>
      <c r="E122" s="89"/>
      <c r="F122" s="89"/>
      <c r="G122" s="89"/>
      <c r="H122" s="983"/>
      <c r="I122" s="979"/>
      <c r="J122" s="33"/>
      <c r="K122" s="25"/>
      <c r="L122" s="33"/>
      <c r="M122" s="57"/>
      <c r="N122" s="60"/>
      <c r="O122" s="128"/>
      <c r="P122" s="128"/>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91"/>
      <c r="DO122" s="77"/>
    </row>
    <row r="123" spans="1:119" ht="16.5">
      <c r="A123" s="980"/>
      <c r="B123" s="722"/>
      <c r="C123" s="981"/>
      <c r="D123" s="89"/>
      <c r="E123" s="89"/>
      <c r="F123" s="89"/>
      <c r="G123" s="89"/>
      <c r="H123" s="89"/>
      <c r="I123" s="236"/>
      <c r="J123" s="33"/>
      <c r="K123" s="25"/>
      <c r="L123" s="33"/>
      <c r="M123" s="100"/>
      <c r="O123" s="77"/>
      <c r="P123" s="128"/>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91"/>
      <c r="DO123" s="77"/>
    </row>
    <row r="124" spans="1:119">
      <c r="A124" s="68"/>
      <c r="B124" s="722"/>
      <c r="C124" s="89"/>
      <c r="D124" s="89"/>
      <c r="E124" s="89"/>
      <c r="F124" s="89"/>
      <c r="G124" s="89"/>
      <c r="H124" s="38"/>
      <c r="I124" s="236"/>
      <c r="J124" s="33"/>
      <c r="K124" s="25"/>
      <c r="L124" s="33"/>
      <c r="M124" s="57"/>
      <c r="N124" s="53"/>
      <c r="O124" s="128"/>
      <c r="P124" s="128"/>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91"/>
      <c r="DO124" s="77"/>
    </row>
    <row r="125" spans="1:119">
      <c r="A125" s="68"/>
      <c r="B125" s="722"/>
      <c r="C125" s="89"/>
      <c r="D125" s="89"/>
      <c r="E125" s="89"/>
      <c r="F125" s="89"/>
      <c r="G125" s="89"/>
      <c r="H125" s="38"/>
      <c r="I125" s="236"/>
      <c r="J125" s="33"/>
      <c r="K125" s="25"/>
      <c r="L125" s="33"/>
      <c r="M125" s="57"/>
      <c r="N125" s="60"/>
      <c r="O125" s="128"/>
      <c r="P125" s="128"/>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91"/>
      <c r="DO125" s="77"/>
    </row>
    <row r="126" spans="1:119" ht="15.75">
      <c r="A126" s="980"/>
      <c r="B126" s="231"/>
      <c r="C126" s="89"/>
      <c r="D126" s="89"/>
      <c r="E126" s="89"/>
      <c r="F126" s="89"/>
      <c r="G126" s="89"/>
      <c r="H126" s="38"/>
      <c r="I126" s="236"/>
      <c r="J126" s="33"/>
      <c r="K126" s="33"/>
      <c r="L126" s="33"/>
      <c r="M126" s="190"/>
      <c r="N126" s="191"/>
      <c r="O126" s="128"/>
      <c r="P126" s="129"/>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91"/>
      <c r="DO126" s="77"/>
    </row>
    <row r="127" spans="1:119" ht="15.75">
      <c r="A127" s="980"/>
      <c r="B127" s="231"/>
      <c r="C127" s="89"/>
      <c r="D127" s="89"/>
      <c r="E127" s="89"/>
      <c r="F127" s="89"/>
      <c r="G127" s="89"/>
      <c r="H127" s="38"/>
      <c r="I127" s="236"/>
      <c r="J127" s="33"/>
      <c r="K127" s="33"/>
      <c r="L127" s="33"/>
      <c r="M127" s="190"/>
      <c r="N127" s="191"/>
      <c r="O127" s="128"/>
      <c r="P127" s="129"/>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91"/>
      <c r="DO127" s="77"/>
    </row>
    <row r="128" spans="1:119">
      <c r="A128" s="89"/>
      <c r="B128" s="89"/>
      <c r="C128" s="89"/>
      <c r="D128" s="89"/>
      <c r="E128" s="89"/>
      <c r="F128" s="89"/>
      <c r="G128" s="89"/>
      <c r="H128" s="89"/>
      <c r="I128" s="56"/>
      <c r="J128" s="33"/>
      <c r="K128" s="33"/>
      <c r="L128" s="33"/>
      <c r="M128" s="100"/>
      <c r="O128" s="77"/>
      <c r="P128" s="128"/>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91"/>
      <c r="DO128" s="77"/>
    </row>
    <row r="129" spans="1:119">
      <c r="A129" s="89"/>
      <c r="B129" s="89"/>
      <c r="C129" s="89"/>
      <c r="D129" s="89"/>
      <c r="E129" s="89"/>
      <c r="F129" s="89"/>
      <c r="G129" s="89"/>
      <c r="H129" s="983"/>
      <c r="I129" s="979"/>
      <c r="J129" s="33"/>
      <c r="K129" s="33"/>
      <c r="L129" s="33"/>
      <c r="M129" s="57"/>
      <c r="N129" s="60"/>
      <c r="O129" s="128"/>
      <c r="P129" s="128"/>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91"/>
      <c r="DO129" s="77"/>
    </row>
    <row r="130" spans="1:119">
      <c r="A130" s="982"/>
      <c r="B130" s="89"/>
      <c r="C130" s="89"/>
      <c r="D130" s="89"/>
      <c r="E130" s="89"/>
      <c r="F130" s="89"/>
      <c r="G130" s="89"/>
      <c r="H130" s="983"/>
      <c r="I130" s="979"/>
      <c r="J130" s="33"/>
      <c r="K130" s="33"/>
      <c r="L130" s="33"/>
      <c r="M130" s="57"/>
      <c r="N130" s="60"/>
      <c r="O130" s="128"/>
      <c r="P130" s="128"/>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91"/>
      <c r="DO130" s="77"/>
    </row>
    <row r="131" spans="1:119">
      <c r="A131" s="68"/>
      <c r="B131" s="722"/>
      <c r="C131" s="89"/>
      <c r="D131" s="89"/>
      <c r="E131" s="89"/>
      <c r="F131" s="89"/>
      <c r="G131" s="38"/>
      <c r="H131" s="235"/>
      <c r="I131" s="236"/>
      <c r="J131" s="33"/>
      <c r="K131" s="33"/>
      <c r="L131" s="33"/>
      <c r="M131" s="100"/>
      <c r="O131" s="77"/>
      <c r="P131" s="128"/>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91"/>
      <c r="DO131" s="77"/>
    </row>
    <row r="132" spans="1:119" ht="16.5">
      <c r="A132" s="980"/>
      <c r="B132" s="722"/>
      <c r="C132" s="981"/>
      <c r="D132" s="89"/>
      <c r="E132" s="89"/>
      <c r="F132" s="38"/>
      <c r="G132" s="89"/>
      <c r="H132" s="89"/>
      <c r="I132" s="56"/>
      <c r="J132" s="33"/>
      <c r="K132" s="33"/>
      <c r="L132" s="33"/>
      <c r="M132" s="57"/>
      <c r="N132" s="60"/>
      <c r="O132" s="128"/>
      <c r="P132" s="128"/>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91"/>
      <c r="DO132" s="77"/>
    </row>
    <row r="133" spans="1:119">
      <c r="A133" s="68"/>
      <c r="B133" s="722"/>
      <c r="C133" s="89"/>
      <c r="D133" s="89"/>
      <c r="E133" s="89"/>
      <c r="F133" s="89"/>
      <c r="G133" s="89"/>
      <c r="H133" s="234"/>
      <c r="I133" s="220"/>
      <c r="J133" s="33"/>
      <c r="K133" s="33"/>
      <c r="L133" s="33"/>
      <c r="M133" s="57"/>
      <c r="N133" s="60"/>
      <c r="O133" s="128"/>
      <c r="P133" s="128"/>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91"/>
      <c r="DO133" s="77"/>
    </row>
    <row r="134" spans="1:119">
      <c r="A134" s="68"/>
      <c r="B134" s="722"/>
      <c r="C134" s="89"/>
      <c r="D134" s="89"/>
      <c r="E134" s="100"/>
      <c r="F134" s="89"/>
      <c r="G134" s="89"/>
      <c r="H134" s="89"/>
      <c r="I134" s="236"/>
      <c r="J134" s="33"/>
      <c r="K134" s="33"/>
      <c r="L134" s="33"/>
      <c r="M134" s="193"/>
      <c r="N134" s="27"/>
      <c r="O134" s="128"/>
      <c r="P134" s="128"/>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91"/>
      <c r="DO134" s="60"/>
    </row>
    <row r="135" spans="1:119" ht="15.75">
      <c r="A135" s="980"/>
      <c r="B135" s="231"/>
      <c r="C135" s="89"/>
      <c r="D135" s="89"/>
      <c r="E135" s="100"/>
      <c r="F135" s="89"/>
      <c r="G135" s="89"/>
      <c r="H135" s="89"/>
      <c r="I135" s="56"/>
      <c r="J135" s="33"/>
      <c r="K135" s="33"/>
      <c r="L135" s="33"/>
      <c r="M135" s="33"/>
      <c r="O135" s="77"/>
      <c r="P135" s="128"/>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91"/>
      <c r="DO135" s="77"/>
    </row>
    <row r="136" spans="1:119" ht="15.75">
      <c r="A136" s="980"/>
      <c r="B136" s="231"/>
      <c r="C136" s="89"/>
      <c r="D136" s="89"/>
      <c r="E136" s="233"/>
      <c r="F136" s="89"/>
      <c r="G136" s="89"/>
      <c r="H136" s="89"/>
      <c r="I136" s="56"/>
      <c r="J136" s="33"/>
      <c r="K136" s="33"/>
      <c r="L136" s="33"/>
      <c r="M136" s="210"/>
      <c r="N136" s="60"/>
      <c r="O136" s="211"/>
      <c r="P136" s="128"/>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91"/>
      <c r="DO136" s="77"/>
    </row>
    <row r="137" spans="1:119">
      <c r="A137" s="89"/>
      <c r="B137" s="231"/>
      <c r="C137" s="110"/>
      <c r="D137" s="232"/>
      <c r="E137" s="89"/>
      <c r="F137" s="89"/>
      <c r="G137" s="89"/>
      <c r="H137" s="983"/>
      <c r="I137" s="979"/>
      <c r="J137" s="33"/>
      <c r="K137" s="57" t="s">
        <v>25</v>
      </c>
      <c r="L137" s="53" t="s">
        <v>25</v>
      </c>
      <c r="M137" s="210"/>
      <c r="N137" s="60"/>
      <c r="O137" s="128"/>
      <c r="P137" s="128"/>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91"/>
      <c r="DO137" s="77"/>
    </row>
    <row r="138" spans="1:119">
      <c r="A138" s="89"/>
      <c r="B138" s="89"/>
      <c r="C138" s="89"/>
      <c r="D138" s="89"/>
      <c r="E138" s="89"/>
      <c r="F138" s="89"/>
      <c r="G138" s="235"/>
      <c r="H138" s="983"/>
      <c r="I138" s="979"/>
      <c r="J138" s="33"/>
      <c r="K138" s="57" t="s">
        <v>25</v>
      </c>
      <c r="L138" s="53" t="s">
        <v>25</v>
      </c>
      <c r="M138" s="33"/>
      <c r="O138" s="77"/>
      <c r="P138" s="128"/>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91"/>
      <c r="DO138" s="77"/>
    </row>
    <row r="139" spans="1:119">
      <c r="A139" s="230"/>
      <c r="B139" s="89"/>
      <c r="C139" s="89"/>
      <c r="D139" s="89"/>
      <c r="E139" s="89"/>
      <c r="F139" s="89"/>
      <c r="G139" s="89"/>
      <c r="H139" s="89"/>
      <c r="I139" s="56"/>
      <c r="J139" s="33"/>
      <c r="K139" s="33"/>
      <c r="L139" s="33"/>
      <c r="M139" s="57"/>
      <c r="N139" s="218"/>
      <c r="O139" s="128"/>
      <c r="P139" s="128"/>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91"/>
      <c r="DO139" s="77"/>
    </row>
    <row r="140" spans="1:119" ht="15.75">
      <c r="A140" s="980"/>
      <c r="B140" s="231"/>
      <c r="C140" s="89"/>
      <c r="D140" s="89"/>
      <c r="E140" s="89"/>
      <c r="F140" s="235"/>
      <c r="G140" s="89"/>
      <c r="H140" s="235"/>
      <c r="I140" s="236"/>
      <c r="J140" s="33"/>
      <c r="K140" s="33"/>
      <c r="L140" s="33"/>
      <c r="M140" s="57"/>
      <c r="N140" s="60"/>
      <c r="O140" s="128"/>
      <c r="P140" s="128"/>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91"/>
      <c r="DO140" s="77"/>
    </row>
    <row r="141" spans="1:119" ht="15.75">
      <c r="A141" s="980"/>
      <c r="B141" s="231"/>
      <c r="C141" s="89"/>
      <c r="D141" s="89"/>
      <c r="E141" s="38"/>
      <c r="F141" s="38"/>
      <c r="G141" s="89"/>
      <c r="H141" s="89"/>
      <c r="I141" s="56"/>
      <c r="J141" s="33"/>
      <c r="K141" s="33"/>
      <c r="L141" s="33"/>
      <c r="M141" s="57"/>
      <c r="N141" s="60"/>
      <c r="O141" s="128"/>
      <c r="P141" s="128"/>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91"/>
      <c r="DO141" s="77"/>
    </row>
    <row r="142" spans="1:119">
      <c r="A142" s="68"/>
      <c r="B142" s="722"/>
      <c r="C142" s="89"/>
      <c r="D142" s="89"/>
      <c r="E142" s="89"/>
      <c r="F142" s="89"/>
      <c r="G142" s="38"/>
      <c r="H142" s="38"/>
      <c r="I142" s="236"/>
      <c r="J142" s="33"/>
      <c r="K142" s="33"/>
      <c r="L142" s="33"/>
      <c r="M142" s="57"/>
      <c r="N142" s="60"/>
      <c r="O142" s="128"/>
      <c r="P142" s="128"/>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91"/>
      <c r="DO142" s="77"/>
    </row>
    <row r="143" spans="1:119">
      <c r="A143" s="89"/>
      <c r="B143" s="89"/>
      <c r="C143" s="89"/>
      <c r="D143" s="110"/>
      <c r="E143" s="38"/>
      <c r="F143" s="38"/>
      <c r="G143" s="89"/>
      <c r="H143" s="235"/>
      <c r="I143" s="236"/>
      <c r="J143" s="33"/>
      <c r="K143" s="50"/>
      <c r="L143" s="33"/>
      <c r="M143" s="57"/>
      <c r="N143" s="60"/>
      <c r="O143" s="77"/>
      <c r="P143" s="128"/>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91"/>
      <c r="DO143" s="77"/>
    </row>
    <row r="144" spans="1:119">
      <c r="A144" s="982"/>
      <c r="B144" s="231"/>
      <c r="C144" s="110"/>
      <c r="D144" s="110"/>
      <c r="E144" s="89"/>
      <c r="F144" s="89"/>
      <c r="G144" s="38"/>
      <c r="H144" s="38"/>
      <c r="I144" s="236"/>
      <c r="J144" s="33"/>
      <c r="K144" s="187"/>
      <c r="L144" s="33"/>
      <c r="M144" s="57"/>
      <c r="N144" s="60"/>
      <c r="O144" s="77"/>
      <c r="P144" s="128"/>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91"/>
      <c r="DO144" s="77"/>
    </row>
    <row r="145" spans="1:119">
      <c r="A145" s="68"/>
      <c r="B145" s="231"/>
      <c r="C145" s="921"/>
      <c r="D145" s="110"/>
      <c r="E145" s="38"/>
      <c r="F145" s="38"/>
      <c r="G145" s="38"/>
      <c r="H145" s="983"/>
      <c r="I145" s="979"/>
      <c r="J145" s="33"/>
      <c r="K145" s="57"/>
      <c r="L145" s="33"/>
      <c r="M145" s="57"/>
      <c r="N145" s="53"/>
      <c r="O145" s="128"/>
      <c r="P145" s="216"/>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91"/>
      <c r="DO145" s="27"/>
    </row>
    <row r="146" spans="1:119">
      <c r="A146" s="68"/>
      <c r="B146" s="231"/>
      <c r="C146" s="110"/>
      <c r="D146" s="110"/>
      <c r="E146" s="38"/>
      <c r="F146" s="38"/>
      <c r="G146" s="38"/>
      <c r="H146" s="38"/>
      <c r="I146" s="56"/>
      <c r="J146" s="33"/>
      <c r="K146" s="57"/>
      <c r="L146" s="33"/>
      <c r="M146" s="57"/>
      <c r="N146" s="53"/>
      <c r="O146" s="128"/>
      <c r="P146" s="216"/>
      <c r="CO146" s="33"/>
      <c r="CP146" s="33"/>
      <c r="CQ146" s="33"/>
      <c r="CR146" s="33"/>
      <c r="CS146" s="33"/>
      <c r="CT146" s="33"/>
      <c r="CU146" s="33"/>
      <c r="CV146" s="33"/>
      <c r="CW146" s="33"/>
      <c r="CX146" s="33"/>
      <c r="CY146" s="33"/>
      <c r="CZ146" s="33"/>
      <c r="DA146" s="33"/>
      <c r="DB146" s="33"/>
      <c r="DC146" s="33"/>
      <c r="DD146" s="33"/>
      <c r="DE146" s="33"/>
      <c r="DF146" s="33"/>
      <c r="DG146" s="33"/>
      <c r="DH146" s="33"/>
      <c r="DI146" s="33"/>
      <c r="DJ146" s="33"/>
      <c r="DK146" s="33"/>
      <c r="DL146" s="33"/>
      <c r="DM146" s="33"/>
      <c r="DN146" s="91"/>
      <c r="DO146" s="77"/>
    </row>
    <row r="147" spans="1:119">
      <c r="A147" s="68"/>
      <c r="B147" s="231"/>
      <c r="C147" s="110"/>
      <c r="D147" s="110"/>
      <c r="E147" s="89"/>
      <c r="F147" s="89"/>
      <c r="G147" s="89"/>
      <c r="H147" s="89"/>
      <c r="I147" s="89"/>
      <c r="J147" s="33"/>
      <c r="K147" s="57"/>
      <c r="L147" s="33"/>
      <c r="M147" s="57"/>
      <c r="N147" s="60"/>
      <c r="O147" s="128"/>
      <c r="P147" s="128"/>
      <c r="CO147" s="33"/>
      <c r="CP147" s="33"/>
      <c r="CQ147" s="33"/>
      <c r="CR147" s="33"/>
      <c r="CS147" s="33"/>
      <c r="CT147" s="33"/>
      <c r="CU147" s="33"/>
      <c r="CV147" s="33"/>
      <c r="CW147" s="33"/>
      <c r="CX147" s="33"/>
      <c r="CY147" s="33"/>
      <c r="CZ147" s="33"/>
      <c r="DA147" s="33"/>
      <c r="DB147" s="33"/>
      <c r="DC147" s="33"/>
      <c r="DD147" s="33"/>
      <c r="DE147" s="33"/>
      <c r="DF147" s="33"/>
      <c r="DG147" s="33"/>
      <c r="DH147" s="33"/>
      <c r="DI147" s="33"/>
      <c r="DJ147" s="33"/>
      <c r="DK147" s="33"/>
      <c r="DL147" s="33"/>
      <c r="DM147" s="33"/>
      <c r="DN147" s="91"/>
      <c r="DO147" s="77"/>
    </row>
    <row r="148" spans="1:119">
      <c r="A148" s="68"/>
      <c r="B148" s="231"/>
      <c r="C148" s="110"/>
      <c r="D148" s="110"/>
      <c r="E148" s="89"/>
      <c r="F148" s="89"/>
      <c r="G148" s="89"/>
      <c r="H148" s="89"/>
      <c r="I148" s="89"/>
      <c r="J148" s="33"/>
      <c r="K148" s="33"/>
      <c r="L148" s="33"/>
      <c r="M148" s="57"/>
      <c r="N148" s="60"/>
      <c r="O148" s="128"/>
      <c r="P148" s="128"/>
      <c r="CO148" s="33"/>
      <c r="CP148" s="33"/>
      <c r="CQ148" s="33"/>
      <c r="CR148" s="33"/>
      <c r="CS148" s="33"/>
      <c r="CT148" s="33"/>
      <c r="CU148" s="33"/>
      <c r="CV148" s="33"/>
      <c r="CW148" s="33"/>
      <c r="CX148" s="33"/>
      <c r="CY148" s="33"/>
      <c r="CZ148" s="33"/>
      <c r="DA148" s="33"/>
      <c r="DB148" s="33"/>
      <c r="DC148" s="33"/>
      <c r="DD148" s="33"/>
      <c r="DE148" s="33"/>
      <c r="DF148" s="33"/>
      <c r="DG148" s="33"/>
      <c r="DH148" s="33"/>
      <c r="DI148" s="33"/>
      <c r="DJ148" s="33"/>
      <c r="DK148" s="33"/>
      <c r="DL148" s="33"/>
      <c r="DM148" s="33"/>
      <c r="DN148" s="91"/>
      <c r="DO148" s="77"/>
    </row>
    <row r="149" spans="1:119">
      <c r="A149" s="68"/>
      <c r="B149" s="231"/>
      <c r="C149" s="110"/>
      <c r="D149" s="89"/>
      <c r="E149" s="89"/>
      <c r="F149" s="89"/>
      <c r="G149" s="89"/>
      <c r="H149" s="89"/>
      <c r="I149" s="89"/>
      <c r="J149" s="33"/>
      <c r="K149" s="187"/>
      <c r="L149" s="33"/>
      <c r="M149" s="57"/>
      <c r="N149" s="53"/>
      <c r="O149" s="128"/>
      <c r="P149" s="216"/>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3"/>
      <c r="DL149" s="33"/>
      <c r="DM149" s="33"/>
      <c r="DN149" s="91"/>
      <c r="DO149" s="77"/>
    </row>
    <row r="150" spans="1:119">
      <c r="A150" s="89"/>
      <c r="B150" s="89"/>
      <c r="C150" s="89"/>
      <c r="D150" s="89"/>
      <c r="E150" s="89"/>
      <c r="F150" s="89"/>
      <c r="G150" s="89"/>
      <c r="H150" s="89"/>
      <c r="I150" s="89"/>
      <c r="J150" s="33"/>
      <c r="K150" s="57"/>
      <c r="L150" s="33"/>
      <c r="M150" s="57"/>
      <c r="N150" s="53"/>
      <c r="O150" s="128"/>
      <c r="P150" s="216"/>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3"/>
      <c r="DL150" s="33"/>
      <c r="DM150" s="33"/>
      <c r="DN150" s="91"/>
      <c r="DO150" s="77"/>
    </row>
    <row r="151" spans="1:119">
      <c r="A151" s="89"/>
      <c r="B151" s="89"/>
      <c r="C151" s="89"/>
      <c r="D151" s="89"/>
      <c r="E151" s="89"/>
      <c r="F151" s="89"/>
      <c r="G151" s="89"/>
      <c r="H151" s="89"/>
      <c r="I151" s="89"/>
      <c r="J151" s="33"/>
      <c r="K151" s="57"/>
      <c r="L151" s="33"/>
      <c r="M151" s="57"/>
      <c r="N151" s="53"/>
      <c r="O151" s="128"/>
      <c r="P151" s="216"/>
      <c r="CO151" s="33"/>
      <c r="CP151" s="33"/>
      <c r="CQ151" s="33"/>
      <c r="CR151" s="33"/>
      <c r="CS151" s="33"/>
      <c r="CT151" s="33"/>
      <c r="CU151" s="33"/>
      <c r="CV151" s="33"/>
      <c r="CW151" s="33"/>
      <c r="CX151" s="33"/>
      <c r="CY151" s="33"/>
      <c r="CZ151" s="33"/>
      <c r="DA151" s="33"/>
      <c r="DB151" s="33"/>
      <c r="DC151" s="33"/>
      <c r="DD151" s="33"/>
      <c r="DE151" s="33"/>
      <c r="DF151" s="33"/>
      <c r="DG151" s="33"/>
      <c r="DH151" s="33"/>
      <c r="DI151" s="33"/>
      <c r="DJ151" s="33"/>
      <c r="DK151" s="33"/>
      <c r="DL151" s="33"/>
      <c r="DM151" s="33"/>
      <c r="DN151" s="91"/>
      <c r="DO151" s="100"/>
    </row>
    <row r="152" spans="1:119">
      <c r="A152" s="89"/>
      <c r="B152" s="89"/>
      <c r="C152" s="89"/>
      <c r="D152" s="89"/>
      <c r="E152" s="89"/>
      <c r="F152" s="89"/>
      <c r="G152" s="89"/>
      <c r="H152" s="89"/>
      <c r="I152" s="89"/>
      <c r="J152" s="33"/>
      <c r="K152" s="57"/>
      <c r="L152" s="33"/>
      <c r="M152" s="57"/>
      <c r="N152" s="53"/>
      <c r="O152" s="128"/>
      <c r="P152" s="216"/>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3"/>
      <c r="DL152" s="33"/>
      <c r="DM152" s="33"/>
      <c r="DN152" s="91"/>
      <c r="DO152" s="77"/>
    </row>
    <row r="153" spans="1:119">
      <c r="A153" s="89"/>
      <c r="B153" s="89"/>
      <c r="C153" s="89"/>
      <c r="D153" s="89"/>
      <c r="E153" s="89"/>
      <c r="F153" s="89"/>
      <c r="G153" s="89"/>
      <c r="H153" s="89"/>
      <c r="I153" s="89"/>
      <c r="J153" s="33"/>
      <c r="K153" s="187"/>
      <c r="L153" s="33"/>
      <c r="M153" s="100"/>
      <c r="O153" s="77"/>
      <c r="P153" s="128"/>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3"/>
      <c r="DL153" s="33"/>
      <c r="DM153" s="33"/>
      <c r="DN153" s="91"/>
      <c r="DO153" s="77"/>
    </row>
    <row r="154" spans="1:119">
      <c r="A154" s="89"/>
      <c r="B154" s="89"/>
      <c r="C154" s="89"/>
      <c r="D154" s="89"/>
      <c r="E154" s="89"/>
      <c r="F154" s="89"/>
      <c r="G154" s="89"/>
      <c r="H154" s="89"/>
      <c r="I154" s="89"/>
      <c r="J154" s="33"/>
      <c r="K154" s="33"/>
      <c r="L154" s="33"/>
      <c r="M154" s="100"/>
      <c r="O154" s="77"/>
      <c r="P154" s="128"/>
      <c r="CO154" s="33"/>
      <c r="CP154" s="33"/>
      <c r="CQ154" s="33"/>
      <c r="CR154" s="33"/>
      <c r="CS154" s="33"/>
      <c r="CT154" s="33"/>
      <c r="CU154" s="33"/>
      <c r="CV154" s="33"/>
      <c r="CW154" s="33"/>
      <c r="CX154" s="33"/>
      <c r="CY154" s="33"/>
      <c r="CZ154" s="33"/>
      <c r="DA154" s="33"/>
      <c r="DB154" s="33"/>
      <c r="DC154" s="33"/>
      <c r="DD154" s="33"/>
      <c r="DE154" s="33"/>
      <c r="DF154" s="33"/>
      <c r="DG154" s="33"/>
      <c r="DH154" s="33"/>
      <c r="DI154" s="33"/>
      <c r="DJ154" s="33"/>
      <c r="DK154" s="33"/>
      <c r="DL154" s="33"/>
      <c r="DM154" s="33"/>
      <c r="DN154" s="91"/>
      <c r="DO154" s="77"/>
    </row>
    <row r="155" spans="1:119">
      <c r="A155" s="89"/>
      <c r="B155" s="89"/>
      <c r="C155" s="89"/>
      <c r="D155" s="89"/>
      <c r="E155" s="89"/>
      <c r="F155" s="89"/>
      <c r="G155" s="89"/>
      <c r="H155" s="89"/>
      <c r="I155" s="89"/>
      <c r="J155" s="33"/>
      <c r="K155" s="33"/>
      <c r="L155" s="33"/>
      <c r="M155" s="100"/>
      <c r="O155" s="77"/>
      <c r="P155" s="128"/>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91"/>
      <c r="DO155" s="77"/>
    </row>
    <row r="156" spans="1:119">
      <c r="A156" s="89"/>
      <c r="B156" s="89"/>
      <c r="C156" s="89"/>
      <c r="D156" s="89"/>
      <c r="E156" s="89"/>
      <c r="F156" s="89"/>
      <c r="G156" s="89"/>
      <c r="H156" s="89"/>
      <c r="I156" s="89"/>
      <c r="J156" s="33"/>
      <c r="K156" s="33"/>
      <c r="L156" s="33"/>
      <c r="M156" s="100"/>
      <c r="O156" s="77"/>
      <c r="P156" s="128"/>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3"/>
      <c r="DL156" s="33"/>
      <c r="DM156" s="33"/>
      <c r="DN156" s="91"/>
      <c r="DO156" s="77"/>
    </row>
    <row r="157" spans="1:119">
      <c r="A157" s="89"/>
      <c r="B157" s="89"/>
      <c r="C157" s="89"/>
      <c r="D157" s="89"/>
      <c r="E157" s="89"/>
      <c r="F157" s="89"/>
      <c r="G157" s="89"/>
      <c r="H157" s="89"/>
      <c r="I157" s="89"/>
      <c r="J157" s="33"/>
      <c r="K157" s="33"/>
      <c r="L157" s="33"/>
      <c r="M157" s="100"/>
      <c r="O157" s="77"/>
      <c r="P157" s="128"/>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3"/>
      <c r="DL157" s="33"/>
      <c r="DM157" s="33"/>
      <c r="DN157" s="91"/>
      <c r="DO157" s="77"/>
    </row>
    <row r="158" spans="1:119">
      <c r="A158" s="89"/>
      <c r="B158" s="89"/>
      <c r="C158" s="89"/>
      <c r="D158" s="89"/>
      <c r="E158" s="89"/>
      <c r="F158" s="89"/>
      <c r="G158" s="89"/>
      <c r="H158" s="89"/>
      <c r="I158" s="89"/>
      <c r="J158" s="33"/>
      <c r="K158" s="33"/>
      <c r="L158" s="33"/>
      <c r="M158" s="100"/>
      <c r="O158" s="77"/>
      <c r="P158" s="128"/>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3"/>
      <c r="DL158" s="33"/>
      <c r="DM158" s="33"/>
      <c r="DN158" s="91"/>
      <c r="DO158" s="77"/>
    </row>
    <row r="159" spans="1:119">
      <c r="A159" s="89"/>
      <c r="B159" s="89"/>
      <c r="C159" s="89"/>
      <c r="D159" s="89"/>
      <c r="E159" s="89"/>
      <c r="F159" s="89"/>
      <c r="G159" s="89"/>
      <c r="H159" s="89"/>
      <c r="I159" s="89"/>
      <c r="J159" s="33"/>
      <c r="K159" s="33"/>
      <c r="L159" s="33"/>
      <c r="M159" s="57"/>
      <c r="N159" s="218"/>
      <c r="O159" s="128"/>
      <c r="P159" s="128"/>
      <c r="CO159" s="33"/>
      <c r="CP159" s="33"/>
      <c r="CQ159" s="33"/>
      <c r="CR159" s="33"/>
      <c r="CS159" s="33"/>
      <c r="CT159" s="33"/>
      <c r="CU159" s="33"/>
      <c r="CV159" s="33"/>
      <c r="CW159" s="33"/>
      <c r="CX159" s="33"/>
      <c r="CY159" s="33"/>
      <c r="CZ159" s="33"/>
      <c r="DA159" s="33"/>
      <c r="DB159" s="33"/>
      <c r="DC159" s="33"/>
      <c r="DD159" s="33"/>
      <c r="DE159" s="33"/>
      <c r="DF159" s="33"/>
      <c r="DG159" s="33"/>
      <c r="DH159" s="33"/>
      <c r="DI159" s="33"/>
      <c r="DJ159" s="33"/>
      <c r="DK159" s="33"/>
      <c r="DL159" s="33"/>
      <c r="DM159" s="33"/>
      <c r="DN159" s="91"/>
      <c r="DO159" s="77"/>
    </row>
    <row r="160" spans="1:119">
      <c r="A160" s="89"/>
      <c r="B160" s="89"/>
      <c r="C160" s="89"/>
      <c r="D160" s="89"/>
      <c r="E160" s="89"/>
      <c r="F160" s="89"/>
      <c r="G160" s="89"/>
      <c r="H160" s="89"/>
      <c r="I160" s="89"/>
      <c r="J160" s="33"/>
      <c r="K160" s="33"/>
      <c r="L160" s="33"/>
      <c r="M160" s="57"/>
      <c r="N160" s="218"/>
      <c r="O160" s="128"/>
      <c r="P160" s="128"/>
      <c r="CO160" s="33"/>
      <c r="CP160" s="33"/>
      <c r="CQ160" s="33"/>
      <c r="CR160" s="33"/>
      <c r="CS160" s="33"/>
      <c r="CT160" s="33"/>
      <c r="CU160" s="33"/>
      <c r="CV160" s="33"/>
      <c r="CW160" s="33"/>
      <c r="CX160" s="33"/>
      <c r="CY160" s="33"/>
      <c r="CZ160" s="33"/>
      <c r="DA160" s="33"/>
      <c r="DB160" s="33"/>
      <c r="DC160" s="33"/>
      <c r="DD160" s="33"/>
      <c r="DE160" s="33"/>
      <c r="DF160" s="33"/>
      <c r="DG160" s="33"/>
      <c r="DH160" s="33"/>
      <c r="DI160" s="33"/>
      <c r="DJ160" s="33"/>
      <c r="DK160" s="33"/>
      <c r="DL160" s="33"/>
      <c r="DM160" s="33"/>
      <c r="DN160" s="91"/>
      <c r="DO160" s="77"/>
    </row>
    <row r="161" spans="1:119">
      <c r="A161" s="89"/>
      <c r="B161" s="89"/>
      <c r="C161" s="89"/>
      <c r="D161" s="89"/>
      <c r="E161" s="89"/>
      <c r="F161" s="89"/>
      <c r="G161" s="89"/>
      <c r="H161" s="89"/>
      <c r="I161" s="89"/>
      <c r="J161" s="33"/>
      <c r="K161" s="33"/>
      <c r="L161" s="33"/>
      <c r="M161" s="57"/>
      <c r="N161" s="218"/>
      <c r="O161" s="128"/>
      <c r="P161" s="128"/>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91"/>
      <c r="DO161" s="77"/>
    </row>
    <row r="162" spans="1:119">
      <c r="A162" s="89"/>
      <c r="B162" s="89"/>
      <c r="C162" s="89"/>
      <c r="D162" s="89"/>
      <c r="E162" s="89"/>
      <c r="F162" s="89"/>
      <c r="G162" s="89"/>
      <c r="H162" s="56"/>
      <c r="I162" s="726"/>
      <c r="J162" s="33"/>
      <c r="K162" s="33"/>
      <c r="L162" s="33"/>
      <c r="M162" s="57"/>
      <c r="N162" s="218"/>
      <c r="O162" s="128"/>
      <c r="P162" s="128"/>
      <c r="CO162" s="33"/>
      <c r="CP162" s="33"/>
      <c r="CQ162" s="33"/>
      <c r="CR162" s="33"/>
      <c r="CS162" s="33"/>
      <c r="CT162" s="33"/>
      <c r="CU162" s="33"/>
      <c r="CV162" s="33"/>
      <c r="CW162" s="33"/>
      <c r="CX162" s="33"/>
      <c r="CY162" s="33"/>
      <c r="CZ162" s="33"/>
      <c r="DA162" s="33"/>
      <c r="DB162" s="33"/>
      <c r="DC162" s="33"/>
      <c r="DD162" s="33"/>
      <c r="DE162" s="33"/>
      <c r="DF162" s="33"/>
      <c r="DG162" s="33"/>
      <c r="DH162" s="33"/>
      <c r="DI162" s="33"/>
      <c r="DJ162" s="33"/>
      <c r="DK162" s="33"/>
      <c r="DL162" s="33"/>
      <c r="DM162" s="33"/>
      <c r="DN162" s="91"/>
      <c r="DO162" s="77"/>
    </row>
    <row r="163" spans="1:119">
      <c r="A163" s="89"/>
      <c r="B163" s="89"/>
      <c r="C163" s="89"/>
      <c r="D163" s="89"/>
      <c r="E163" s="89"/>
      <c r="F163" s="89"/>
      <c r="G163" s="89"/>
      <c r="H163" s="56"/>
      <c r="I163" s="727"/>
      <c r="J163" s="33"/>
      <c r="K163" s="33"/>
      <c r="L163" s="33"/>
      <c r="M163" s="190"/>
      <c r="N163" s="218"/>
      <c r="O163" s="77"/>
      <c r="P163" s="129"/>
      <c r="CO163" s="33"/>
      <c r="CP163" s="33"/>
      <c r="CQ163" s="33"/>
      <c r="CR163" s="33"/>
      <c r="CS163" s="33"/>
      <c r="CT163" s="33"/>
      <c r="CU163" s="33"/>
      <c r="CV163" s="33"/>
      <c r="CW163" s="33"/>
      <c r="CX163" s="33"/>
      <c r="CY163" s="33"/>
      <c r="CZ163" s="33"/>
      <c r="DA163" s="33"/>
      <c r="DB163" s="33"/>
      <c r="DC163" s="33"/>
      <c r="DD163" s="33"/>
      <c r="DE163" s="33"/>
      <c r="DF163" s="33"/>
      <c r="DG163" s="33"/>
      <c r="DH163" s="33"/>
      <c r="DI163" s="33"/>
      <c r="DJ163" s="33"/>
      <c r="DK163" s="33"/>
      <c r="DL163" s="33"/>
      <c r="DM163" s="33"/>
      <c r="DN163" s="91"/>
      <c r="DO163" s="77"/>
    </row>
    <row r="164" spans="1:119">
      <c r="A164" s="89"/>
      <c r="B164" s="89"/>
      <c r="C164" s="89"/>
      <c r="D164" s="89"/>
      <c r="E164" s="89"/>
      <c r="F164" s="89"/>
      <c r="G164" s="89"/>
      <c r="H164" s="56"/>
      <c r="I164" s="25"/>
      <c r="J164" s="33"/>
      <c r="K164" s="33"/>
      <c r="L164" s="33"/>
      <c r="M164" s="57"/>
      <c r="N164" s="27"/>
      <c r="O164" s="128"/>
      <c r="P164" s="128"/>
      <c r="CO164" s="33"/>
      <c r="CP164" s="33"/>
      <c r="CQ164" s="33"/>
      <c r="CR164" s="33"/>
      <c r="CS164" s="33"/>
      <c r="CT164" s="33"/>
      <c r="CU164" s="33"/>
      <c r="CV164" s="33"/>
      <c r="CW164" s="33"/>
      <c r="CX164" s="33"/>
      <c r="CY164" s="33"/>
      <c r="CZ164" s="33"/>
      <c r="DA164" s="33"/>
      <c r="DB164" s="33"/>
      <c r="DC164" s="33"/>
      <c r="DD164" s="33"/>
      <c r="DE164" s="33"/>
      <c r="DF164" s="33"/>
      <c r="DG164" s="33"/>
      <c r="DH164" s="33"/>
      <c r="DI164" s="33"/>
      <c r="DJ164" s="33"/>
      <c r="DK164" s="33"/>
      <c r="DL164" s="33"/>
      <c r="DM164" s="33"/>
      <c r="DN164" s="91"/>
      <c r="DO164" s="77"/>
    </row>
    <row r="165" spans="1:119">
      <c r="A165" s="246"/>
      <c r="B165" s="89"/>
      <c r="C165" s="89"/>
      <c r="D165" s="89"/>
      <c r="E165" s="89"/>
      <c r="F165" s="89"/>
      <c r="G165" s="89"/>
      <c r="H165" s="56"/>
      <c r="I165" s="201"/>
      <c r="J165" s="33"/>
      <c r="K165" s="33"/>
      <c r="L165" s="33"/>
      <c r="M165" s="57"/>
      <c r="N165" s="27"/>
      <c r="O165" s="128"/>
      <c r="P165" s="128"/>
      <c r="CO165" s="33"/>
      <c r="CP165" s="33"/>
      <c r="CQ165" s="33"/>
      <c r="CR165" s="33"/>
      <c r="CS165" s="33"/>
      <c r="CT165" s="33"/>
      <c r="CU165" s="33"/>
      <c r="CV165" s="33"/>
      <c r="CW165" s="33"/>
      <c r="CX165" s="33"/>
      <c r="CY165" s="33"/>
      <c r="CZ165" s="33"/>
      <c r="DA165" s="33"/>
      <c r="DB165" s="33"/>
      <c r="DC165" s="33"/>
      <c r="DD165" s="33"/>
      <c r="DE165" s="33"/>
      <c r="DF165" s="33"/>
      <c r="DG165" s="33"/>
      <c r="DH165" s="33"/>
      <c r="DI165" s="33"/>
      <c r="DJ165" s="33"/>
      <c r="DK165" s="33"/>
      <c r="DL165" s="33"/>
      <c r="DM165" s="33"/>
      <c r="DN165" s="91"/>
      <c r="DO165" s="77"/>
    </row>
    <row r="166" spans="1:119" ht="15.75">
      <c r="A166" s="980"/>
      <c r="B166" s="89"/>
      <c r="C166" s="89"/>
      <c r="D166" s="89"/>
      <c r="E166" s="89"/>
      <c r="F166" s="89"/>
      <c r="G166" s="89"/>
      <c r="H166" s="234" t="s">
        <v>25</v>
      </c>
      <c r="I166" s="220" t="s">
        <v>25</v>
      </c>
      <c r="J166" s="33"/>
      <c r="K166" s="33"/>
      <c r="L166" s="39"/>
      <c r="M166" s="57"/>
      <c r="N166" s="218"/>
      <c r="O166" s="128"/>
      <c r="P166" s="128"/>
      <c r="CO166" s="33"/>
      <c r="CP166" s="33"/>
      <c r="CQ166" s="33"/>
      <c r="CR166" s="33"/>
      <c r="CS166" s="33"/>
      <c r="CT166" s="33"/>
      <c r="CU166" s="33"/>
      <c r="CV166" s="33"/>
      <c r="CW166" s="33"/>
      <c r="CX166" s="33"/>
      <c r="CY166" s="33"/>
      <c r="CZ166" s="33"/>
      <c r="DA166" s="33"/>
      <c r="DB166" s="33"/>
      <c r="DC166" s="33"/>
      <c r="DD166" s="33"/>
      <c r="DE166" s="33"/>
      <c r="DF166" s="33"/>
      <c r="DG166" s="33"/>
      <c r="DH166" s="33"/>
      <c r="DI166" s="33"/>
      <c r="DJ166" s="33"/>
      <c r="DK166" s="33"/>
      <c r="DL166" s="33"/>
      <c r="DM166" s="33"/>
      <c r="DN166" s="91"/>
      <c r="DO166" s="77"/>
    </row>
    <row r="167" spans="1:119" ht="15.75">
      <c r="A167" s="980"/>
      <c r="B167" s="89"/>
      <c r="C167" s="89"/>
      <c r="D167" s="89"/>
      <c r="E167" s="89"/>
      <c r="F167" s="89"/>
      <c r="G167" s="38"/>
      <c r="H167" s="89"/>
      <c r="I167" s="236" t="s">
        <v>25</v>
      </c>
      <c r="J167" s="33"/>
      <c r="K167" s="33"/>
      <c r="L167" s="33"/>
      <c r="M167" s="57"/>
      <c r="N167" s="218"/>
      <c r="O167" s="128"/>
      <c r="P167" s="128"/>
      <c r="CO167" s="33"/>
      <c r="CP167" s="33"/>
      <c r="CQ167" s="33"/>
      <c r="CR167" s="33"/>
      <c r="CS167" s="33"/>
      <c r="CT167" s="33"/>
      <c r="CU167" s="33"/>
      <c r="CV167" s="33"/>
      <c r="CW167" s="33"/>
      <c r="CX167" s="33"/>
      <c r="CY167" s="33"/>
      <c r="CZ167" s="33"/>
      <c r="DA167" s="33"/>
      <c r="DB167" s="33"/>
      <c r="DC167" s="33"/>
      <c r="DD167" s="33"/>
      <c r="DE167" s="33"/>
      <c r="DF167" s="33"/>
      <c r="DG167" s="33"/>
      <c r="DH167" s="33"/>
      <c r="DI167" s="33"/>
      <c r="DJ167" s="33"/>
      <c r="DK167" s="33"/>
      <c r="DL167" s="33"/>
      <c r="DM167" s="33"/>
      <c r="DN167" s="91"/>
      <c r="DO167" s="77"/>
    </row>
    <row r="168" spans="1:119">
      <c r="A168" s="89"/>
      <c r="B168" s="89"/>
      <c r="C168" s="89"/>
      <c r="D168" s="89"/>
      <c r="E168" s="89"/>
      <c r="F168" s="89"/>
      <c r="G168" s="38"/>
      <c r="H168" s="235"/>
      <c r="I168" s="38"/>
      <c r="J168" s="33"/>
      <c r="K168" s="33"/>
      <c r="L168" s="222"/>
      <c r="M168" s="57"/>
      <c r="N168" s="218"/>
      <c r="O168" s="128"/>
      <c r="P168" s="128"/>
      <c r="CO168" s="33"/>
      <c r="CP168" s="33"/>
      <c r="CQ168" s="33"/>
      <c r="CR168" s="33"/>
      <c r="CS168" s="33"/>
      <c r="CT168" s="33"/>
      <c r="CU168" s="33"/>
      <c r="CV168" s="33"/>
      <c r="CW168" s="33"/>
      <c r="CX168" s="33"/>
      <c r="CY168" s="33"/>
      <c r="CZ168" s="33"/>
      <c r="DA168" s="33"/>
      <c r="DB168" s="33"/>
      <c r="DC168" s="33"/>
      <c r="DD168" s="33"/>
      <c r="DE168" s="33"/>
      <c r="DF168" s="33"/>
      <c r="DG168" s="33"/>
      <c r="DH168" s="33"/>
      <c r="DI168" s="33"/>
      <c r="DJ168" s="33"/>
      <c r="DK168" s="33"/>
      <c r="DL168" s="33"/>
      <c r="DM168" s="33"/>
      <c r="DN168" s="91"/>
      <c r="DO168" s="77"/>
    </row>
    <row r="169" spans="1:119">
      <c r="A169" s="982"/>
      <c r="B169" s="53"/>
      <c r="C169" s="38"/>
      <c r="D169" s="110"/>
      <c r="E169" s="38"/>
      <c r="F169" s="38"/>
      <c r="G169" s="38"/>
      <c r="H169" s="983"/>
      <c r="I169" s="979"/>
      <c r="J169" s="33"/>
      <c r="K169" s="33"/>
      <c r="L169" s="57"/>
      <c r="M169" s="190"/>
      <c r="N169" s="218"/>
      <c r="O169" s="77"/>
      <c r="P169" s="129"/>
      <c r="CO169" s="33"/>
      <c r="CP169" s="33"/>
      <c r="CQ169" s="33"/>
      <c r="CR169" s="33"/>
      <c r="CS169" s="33"/>
      <c r="CT169" s="33"/>
      <c r="CU169" s="33"/>
      <c r="CV169" s="33"/>
      <c r="CW169" s="33"/>
      <c r="CX169" s="33"/>
      <c r="CY169" s="33"/>
      <c r="CZ169" s="33"/>
      <c r="DA169" s="33"/>
      <c r="DB169" s="33"/>
      <c r="DC169" s="33"/>
      <c r="DD169" s="33"/>
      <c r="DE169" s="33"/>
      <c r="DF169" s="33"/>
      <c r="DG169" s="33"/>
      <c r="DH169" s="33"/>
      <c r="DI169" s="33"/>
      <c r="DJ169" s="33"/>
      <c r="DK169" s="33"/>
      <c r="DL169" s="33"/>
      <c r="DM169" s="33"/>
      <c r="DN169" s="91"/>
      <c r="DO169" s="77"/>
    </row>
    <row r="170" spans="1:119">
      <c r="A170" s="68"/>
      <c r="B170" s="231"/>
      <c r="C170" s="38"/>
      <c r="D170" s="110"/>
      <c r="E170" s="38"/>
      <c r="F170" s="38"/>
      <c r="G170" s="38"/>
      <c r="H170" s="983"/>
      <c r="I170" s="979"/>
      <c r="J170" s="33"/>
      <c r="K170" s="33"/>
      <c r="L170" s="210"/>
      <c r="M170" s="190"/>
      <c r="N170" s="191"/>
      <c r="O170" s="77"/>
      <c r="P170" s="129"/>
      <c r="CO170" s="33"/>
      <c r="CP170" s="33"/>
      <c r="CQ170" s="33"/>
      <c r="CR170" s="33"/>
      <c r="CS170" s="33"/>
      <c r="CT170" s="33"/>
      <c r="CU170" s="33"/>
      <c r="CV170" s="33"/>
      <c r="CW170" s="33"/>
      <c r="CX170" s="33"/>
      <c r="CY170" s="33"/>
      <c r="CZ170" s="33"/>
      <c r="DA170" s="33"/>
      <c r="DB170" s="33"/>
      <c r="DC170" s="33"/>
      <c r="DD170" s="33"/>
      <c r="DE170" s="33"/>
      <c r="DF170" s="33"/>
      <c r="DG170" s="33"/>
      <c r="DH170" s="33"/>
      <c r="DI170" s="33"/>
      <c r="DJ170" s="33"/>
      <c r="DK170" s="33"/>
      <c r="DL170" s="33"/>
      <c r="DM170" s="33"/>
      <c r="DN170" s="91"/>
      <c r="DO170" s="77"/>
    </row>
    <row r="171" spans="1:119">
      <c r="A171" s="68"/>
      <c r="B171" s="231"/>
      <c r="C171" s="38"/>
      <c r="D171" s="110"/>
      <c r="E171" s="38"/>
      <c r="F171" s="38"/>
      <c r="G171" s="38"/>
      <c r="H171" s="89"/>
      <c r="I171" s="236"/>
      <c r="J171" s="33"/>
      <c r="K171" s="33"/>
      <c r="L171" s="57"/>
      <c r="M171" s="190"/>
      <c r="N171" s="218"/>
      <c r="O171" s="77"/>
      <c r="P171" s="100"/>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91"/>
      <c r="DO171" s="77"/>
    </row>
    <row r="172" spans="1:119" ht="16.5">
      <c r="A172" s="980"/>
      <c r="B172" s="722"/>
      <c r="C172" s="981"/>
      <c r="D172" s="89"/>
      <c r="E172" s="38"/>
      <c r="F172" s="38"/>
      <c r="G172" s="38"/>
      <c r="H172" s="38"/>
      <c r="I172" s="236"/>
      <c r="J172" s="33"/>
      <c r="K172" s="33"/>
      <c r="L172" s="187"/>
      <c r="M172" s="57"/>
      <c r="N172" s="191"/>
      <c r="O172" s="128"/>
      <c r="P172" s="128"/>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91"/>
      <c r="DO172" s="77"/>
    </row>
    <row r="173" spans="1:119">
      <c r="A173" s="68"/>
      <c r="B173" s="722"/>
      <c r="C173" s="89"/>
      <c r="D173" s="89"/>
      <c r="E173" s="89"/>
      <c r="F173" s="89"/>
      <c r="G173" s="89"/>
      <c r="H173" s="38"/>
      <c r="I173" s="236"/>
      <c r="J173" s="33"/>
      <c r="K173" s="33"/>
      <c r="L173" s="57"/>
      <c r="M173" s="57"/>
      <c r="N173" s="191"/>
      <c r="O173" s="128"/>
      <c r="P173" s="128"/>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91"/>
      <c r="DO173" s="77"/>
    </row>
    <row r="174" spans="1:119">
      <c r="A174" s="68"/>
      <c r="B174" s="722"/>
      <c r="C174" s="89"/>
      <c r="D174" s="89"/>
      <c r="E174" s="89"/>
      <c r="F174" s="89"/>
      <c r="G174" s="89"/>
      <c r="H174" s="38"/>
      <c r="I174" s="236"/>
      <c r="J174" s="33"/>
      <c r="K174" s="33"/>
      <c r="L174" s="210"/>
      <c r="M174" s="190"/>
      <c r="N174" s="218"/>
      <c r="O174" s="77"/>
      <c r="P174" s="129"/>
      <c r="CO174" s="33"/>
      <c r="CP174" s="33"/>
      <c r="CQ174" s="33"/>
      <c r="CR174" s="33"/>
      <c r="CS174" s="33"/>
      <c r="CT174" s="33"/>
      <c r="CU174" s="33"/>
      <c r="CV174" s="33"/>
      <c r="CW174" s="33"/>
      <c r="CX174" s="33"/>
      <c r="CY174" s="33"/>
      <c r="CZ174" s="33"/>
      <c r="DA174" s="33"/>
      <c r="DB174" s="33"/>
      <c r="DC174" s="33"/>
      <c r="DD174" s="33"/>
      <c r="DE174" s="33"/>
      <c r="DF174" s="33"/>
      <c r="DG174" s="33"/>
      <c r="DH174" s="33"/>
      <c r="DI174" s="33"/>
      <c r="DJ174" s="33"/>
      <c r="DK174" s="33"/>
      <c r="DL174" s="33"/>
      <c r="DM174" s="33"/>
      <c r="DN174" s="91"/>
      <c r="DO174" s="77"/>
    </row>
    <row r="175" spans="1:119" ht="15.75">
      <c r="A175" s="980"/>
      <c r="B175" s="231"/>
      <c r="C175" s="89"/>
      <c r="D175" s="89"/>
      <c r="E175" s="89"/>
      <c r="F175" s="89"/>
      <c r="G175" s="89"/>
      <c r="H175" s="38"/>
      <c r="I175" s="236"/>
      <c r="J175" s="33"/>
      <c r="K175" s="33"/>
      <c r="L175" s="223"/>
      <c r="M175" s="57"/>
      <c r="N175" s="60"/>
      <c r="O175" s="128"/>
      <c r="P175" s="33"/>
      <c r="CO175" s="33"/>
      <c r="CP175" s="33"/>
      <c r="CQ175" s="33"/>
      <c r="CR175" s="33"/>
      <c r="CS175" s="33"/>
      <c r="CT175" s="33"/>
      <c r="CU175" s="33"/>
      <c r="CV175" s="33"/>
      <c r="CW175" s="33"/>
      <c r="CX175" s="33"/>
      <c r="CY175" s="33"/>
      <c r="CZ175" s="33"/>
      <c r="DA175" s="33"/>
      <c r="DB175" s="33"/>
      <c r="DC175" s="33"/>
      <c r="DD175" s="33"/>
      <c r="DE175" s="33"/>
      <c r="DF175" s="33"/>
      <c r="DG175" s="33"/>
      <c r="DH175" s="33"/>
      <c r="DI175" s="33"/>
      <c r="DJ175" s="33"/>
      <c r="DK175" s="33"/>
      <c r="DL175" s="33"/>
      <c r="DM175" s="33"/>
      <c r="DN175" s="91"/>
      <c r="DO175" s="77"/>
    </row>
    <row r="176" spans="1:119" ht="15.75">
      <c r="A176" s="980"/>
      <c r="B176" s="231"/>
      <c r="C176" s="89"/>
      <c r="D176" s="89"/>
      <c r="E176" s="89"/>
      <c r="F176" s="89"/>
      <c r="G176" s="38"/>
      <c r="H176" s="89"/>
      <c r="I176" s="56"/>
      <c r="J176" s="33"/>
      <c r="K176" s="33"/>
      <c r="L176" s="33"/>
      <c r="M176" s="33"/>
      <c r="O176" s="77"/>
      <c r="P176" s="33"/>
      <c r="CO176" s="33"/>
      <c r="CP176" s="33"/>
      <c r="CQ176" s="33"/>
      <c r="CR176" s="33"/>
      <c r="CS176" s="33"/>
      <c r="CT176" s="33"/>
      <c r="CU176" s="33"/>
      <c r="CV176" s="33"/>
      <c r="CW176" s="33"/>
      <c r="CX176" s="33"/>
      <c r="CY176" s="33"/>
      <c r="CZ176" s="33"/>
      <c r="DA176" s="33"/>
      <c r="DB176" s="33"/>
      <c r="DC176" s="33"/>
      <c r="DD176" s="33"/>
      <c r="DE176" s="33"/>
      <c r="DF176" s="33"/>
      <c r="DG176" s="33"/>
      <c r="DH176" s="33"/>
      <c r="DI176" s="33"/>
      <c r="DJ176" s="33"/>
      <c r="DK176" s="33"/>
      <c r="DL176" s="33"/>
      <c r="DM176" s="33"/>
      <c r="DN176" s="91"/>
      <c r="DO176" s="77"/>
    </row>
    <row r="177" spans="1:119">
      <c r="A177" s="89"/>
      <c r="B177" s="89"/>
      <c r="C177" s="89"/>
      <c r="D177" s="89"/>
      <c r="E177" s="89"/>
      <c r="F177" s="89"/>
      <c r="G177" s="38"/>
      <c r="H177" s="983"/>
      <c r="I177" s="979"/>
      <c r="J177" s="33"/>
      <c r="K177" s="33"/>
      <c r="L177" s="33"/>
      <c r="M177" s="100"/>
      <c r="O177" s="77"/>
      <c r="P177" s="224"/>
      <c r="CO177" s="33"/>
      <c r="CP177" s="33"/>
      <c r="CQ177" s="33"/>
      <c r="CR177" s="33"/>
      <c r="CS177" s="33"/>
      <c r="CT177" s="33"/>
      <c r="CU177" s="33"/>
      <c r="CV177" s="33"/>
      <c r="CW177" s="33"/>
      <c r="CX177" s="33"/>
      <c r="CY177" s="33"/>
      <c r="CZ177" s="33"/>
      <c r="DA177" s="33"/>
      <c r="DB177" s="33"/>
      <c r="DC177" s="33"/>
      <c r="DD177" s="33"/>
      <c r="DE177" s="33"/>
      <c r="DF177" s="33"/>
      <c r="DG177" s="33"/>
      <c r="DH177" s="33"/>
      <c r="DI177" s="33"/>
      <c r="DJ177" s="33"/>
      <c r="DK177" s="33"/>
      <c r="DL177" s="33"/>
      <c r="DM177" s="33"/>
      <c r="DN177" s="91"/>
      <c r="DO177" s="77"/>
    </row>
    <row r="178" spans="1:119">
      <c r="A178" s="89"/>
      <c r="B178" s="89"/>
      <c r="C178" s="89"/>
      <c r="D178" s="89"/>
      <c r="E178" s="89"/>
      <c r="F178" s="89"/>
      <c r="G178" s="89"/>
      <c r="H178" s="983"/>
      <c r="I178" s="979"/>
      <c r="J178" s="33"/>
      <c r="K178" s="33"/>
      <c r="L178" s="33"/>
      <c r="M178" s="57"/>
      <c r="N178" s="60"/>
      <c r="O178" s="128"/>
      <c r="P178" s="128"/>
      <c r="CO178" s="33"/>
      <c r="CP178" s="33"/>
      <c r="CQ178" s="33"/>
      <c r="CR178" s="33"/>
      <c r="CS178" s="33"/>
      <c r="CT178" s="33"/>
      <c r="CU178" s="33"/>
      <c r="CV178" s="33"/>
      <c r="CW178" s="33"/>
      <c r="CX178" s="33"/>
      <c r="CY178" s="33"/>
      <c r="CZ178" s="33"/>
      <c r="DA178" s="33"/>
      <c r="DB178" s="33"/>
      <c r="DC178" s="33"/>
      <c r="DD178" s="33"/>
      <c r="DE178" s="33"/>
      <c r="DF178" s="33"/>
      <c r="DG178" s="33"/>
      <c r="DH178" s="33"/>
      <c r="DI178" s="33"/>
      <c r="DJ178" s="33"/>
      <c r="DK178" s="33"/>
      <c r="DL178" s="33"/>
      <c r="DM178" s="33"/>
      <c r="DN178" s="91"/>
      <c r="DO178" s="77"/>
    </row>
    <row r="179" spans="1:119">
      <c r="A179" s="982"/>
      <c r="B179" s="53"/>
      <c r="C179" s="38"/>
      <c r="D179" s="110"/>
      <c r="E179" s="38"/>
      <c r="F179" s="38"/>
      <c r="G179" s="38"/>
      <c r="H179" s="235"/>
      <c r="I179" s="236"/>
      <c r="J179" s="33"/>
      <c r="K179" s="33"/>
      <c r="L179" s="33"/>
      <c r="M179" s="57"/>
      <c r="N179" s="60"/>
      <c r="O179" s="128"/>
      <c r="P179" s="128"/>
      <c r="CO179" s="33"/>
      <c r="CP179" s="33"/>
      <c r="CQ179" s="33"/>
      <c r="CR179" s="33"/>
      <c r="CS179" s="33"/>
      <c r="CT179" s="33"/>
      <c r="CU179" s="33"/>
      <c r="CV179" s="33"/>
      <c r="CW179" s="33"/>
      <c r="CX179" s="33"/>
      <c r="CY179" s="33"/>
      <c r="CZ179" s="33"/>
      <c r="DA179" s="33"/>
      <c r="DB179" s="33"/>
      <c r="DC179" s="33"/>
      <c r="DD179" s="33"/>
      <c r="DE179" s="33"/>
      <c r="DF179" s="33"/>
      <c r="DG179" s="33"/>
      <c r="DH179" s="33"/>
      <c r="DI179" s="33"/>
      <c r="DJ179" s="33"/>
      <c r="DK179" s="33"/>
      <c r="DL179" s="33"/>
      <c r="DM179" s="33"/>
      <c r="DN179" s="91"/>
      <c r="DO179" s="77"/>
    </row>
    <row r="180" spans="1:119">
      <c r="A180" s="68"/>
      <c r="B180" s="231"/>
      <c r="C180" s="38"/>
      <c r="D180" s="110"/>
      <c r="E180" s="38"/>
      <c r="F180" s="38"/>
      <c r="G180" s="38"/>
      <c r="H180" s="89"/>
      <c r="I180" s="56"/>
      <c r="J180" s="33"/>
      <c r="K180" s="33"/>
      <c r="L180" s="33"/>
      <c r="M180" s="57"/>
      <c r="N180" s="60"/>
      <c r="O180" s="128"/>
      <c r="P180" s="128"/>
      <c r="CO180" s="33"/>
      <c r="CP180" s="33"/>
      <c r="CQ180" s="33"/>
      <c r="CR180" s="33"/>
      <c r="CS180" s="33"/>
      <c r="CT180" s="33"/>
      <c r="CU180" s="33"/>
      <c r="CV180" s="33"/>
      <c r="CW180" s="33"/>
      <c r="CX180" s="33"/>
      <c r="CY180" s="33"/>
      <c r="CZ180" s="33"/>
      <c r="DA180" s="33"/>
      <c r="DB180" s="33"/>
      <c r="DC180" s="33"/>
      <c r="DD180" s="33"/>
      <c r="DE180" s="33"/>
      <c r="DF180" s="33"/>
      <c r="DG180" s="33"/>
      <c r="DH180" s="33"/>
      <c r="DI180" s="33"/>
      <c r="DJ180" s="33"/>
      <c r="DK180" s="33"/>
      <c r="DL180" s="33"/>
      <c r="DM180" s="33"/>
      <c r="DN180" s="91"/>
      <c r="DO180" s="77"/>
    </row>
    <row r="181" spans="1:119">
      <c r="A181" s="68"/>
      <c r="B181" s="231"/>
      <c r="C181" s="38"/>
      <c r="D181" s="110"/>
      <c r="E181" s="38"/>
      <c r="F181" s="38"/>
      <c r="G181" s="38"/>
      <c r="H181" s="234"/>
      <c r="I181" s="220"/>
      <c r="J181" s="33"/>
      <c r="K181" s="33"/>
      <c r="L181" s="33"/>
      <c r="M181" s="57"/>
      <c r="N181" s="60"/>
      <c r="O181" s="128"/>
      <c r="P181" s="128"/>
      <c r="CO181" s="33"/>
      <c r="CP181" s="33"/>
      <c r="CQ181" s="33"/>
      <c r="CR181" s="33"/>
      <c r="CS181" s="33"/>
      <c r="CT181" s="33"/>
      <c r="CU181" s="33"/>
      <c r="CV181" s="33"/>
      <c r="CW181" s="33"/>
      <c r="CX181" s="33"/>
      <c r="CY181" s="33"/>
      <c r="CZ181" s="33"/>
      <c r="DA181" s="33"/>
      <c r="DB181" s="33"/>
      <c r="DC181" s="33"/>
      <c r="DD181" s="33"/>
      <c r="DE181" s="33"/>
      <c r="DF181" s="33"/>
      <c r="DG181" s="33"/>
      <c r="DH181" s="33"/>
      <c r="DI181" s="33"/>
      <c r="DJ181" s="33"/>
      <c r="DK181" s="33"/>
      <c r="DL181" s="33"/>
      <c r="DM181" s="33"/>
      <c r="DN181" s="91"/>
      <c r="DO181" s="77"/>
    </row>
    <row r="182" spans="1:119" ht="16.5">
      <c r="A182" s="980"/>
      <c r="B182" s="722"/>
      <c r="C182" s="981"/>
      <c r="D182" s="89"/>
      <c r="E182" s="38"/>
      <c r="F182" s="38"/>
      <c r="G182" s="89"/>
      <c r="H182" s="89"/>
      <c r="I182" s="236"/>
      <c r="J182" s="33"/>
      <c r="K182" s="33"/>
      <c r="L182" s="33"/>
      <c r="M182" s="100"/>
      <c r="O182" s="77"/>
      <c r="P182" s="128"/>
      <c r="CO182" s="33"/>
      <c r="CP182" s="33"/>
      <c r="CQ182" s="33"/>
      <c r="CR182" s="33"/>
      <c r="CS182" s="33"/>
      <c r="CT182" s="33"/>
      <c r="CU182" s="33"/>
      <c r="CV182" s="33"/>
      <c r="CW182" s="33"/>
      <c r="CX182" s="33"/>
      <c r="CY182" s="33"/>
      <c r="CZ182" s="33"/>
      <c r="DA182" s="33"/>
      <c r="DB182" s="33"/>
      <c r="DC182" s="33"/>
      <c r="DD182" s="33"/>
      <c r="DE182" s="33"/>
      <c r="DF182" s="33"/>
      <c r="DG182" s="33"/>
      <c r="DH182" s="33"/>
      <c r="DI182" s="33"/>
      <c r="DJ182" s="33"/>
      <c r="DK182" s="33"/>
      <c r="DL182" s="33"/>
      <c r="DM182" s="33"/>
      <c r="DN182" s="91"/>
      <c r="DO182" s="77"/>
    </row>
    <row r="183" spans="1:119">
      <c r="A183" s="68"/>
      <c r="B183" s="722"/>
      <c r="C183" s="89"/>
      <c r="D183" s="89"/>
      <c r="E183" s="89"/>
      <c r="F183" s="89"/>
      <c r="G183" s="89"/>
      <c r="H183" s="89"/>
      <c r="I183" s="56"/>
      <c r="J183" s="33"/>
      <c r="K183" s="33"/>
      <c r="L183" s="33"/>
      <c r="M183" s="57"/>
      <c r="N183" s="191"/>
      <c r="O183" s="128"/>
      <c r="P183" s="128"/>
      <c r="CO183" s="33"/>
      <c r="CP183" s="33"/>
      <c r="CQ183" s="33"/>
      <c r="CR183" s="33"/>
      <c r="CS183" s="33"/>
      <c r="CT183" s="33"/>
      <c r="CU183" s="33"/>
      <c r="CV183" s="33"/>
      <c r="CW183" s="33"/>
      <c r="CX183" s="33"/>
      <c r="CY183" s="33"/>
      <c r="CZ183" s="33"/>
      <c r="DA183" s="33"/>
      <c r="DB183" s="33"/>
      <c r="DC183" s="33"/>
      <c r="DD183" s="33"/>
      <c r="DE183" s="33"/>
      <c r="DF183" s="33"/>
      <c r="DG183" s="33"/>
      <c r="DH183" s="33"/>
      <c r="DI183" s="33"/>
      <c r="DJ183" s="33"/>
      <c r="DK183" s="33"/>
      <c r="DL183" s="33"/>
      <c r="DM183" s="33"/>
      <c r="DN183" s="91"/>
      <c r="DO183" s="77"/>
    </row>
    <row r="184" spans="1:119">
      <c r="A184" s="68"/>
      <c r="B184" s="722"/>
      <c r="C184" s="89"/>
      <c r="D184" s="89"/>
      <c r="E184" s="89"/>
      <c r="F184" s="89"/>
      <c r="G184" s="89"/>
      <c r="H184" s="89"/>
      <c r="I184" s="56"/>
      <c r="J184" s="33"/>
      <c r="K184" s="33"/>
      <c r="L184" s="33"/>
      <c r="M184" s="57"/>
      <c r="N184" s="60"/>
      <c r="O184" s="128"/>
      <c r="P184" s="128"/>
      <c r="CO184" s="33"/>
      <c r="CP184" s="33"/>
      <c r="CQ184" s="33"/>
      <c r="CR184" s="33"/>
      <c r="CS184" s="33"/>
      <c r="CT184" s="33"/>
      <c r="CU184" s="33"/>
      <c r="CV184" s="33"/>
      <c r="CW184" s="33"/>
      <c r="CX184" s="33"/>
      <c r="CY184" s="33"/>
      <c r="CZ184" s="33"/>
      <c r="DA184" s="33"/>
      <c r="DB184" s="33"/>
      <c r="DC184" s="33"/>
      <c r="DD184" s="33"/>
      <c r="DE184" s="33"/>
      <c r="DF184" s="33"/>
      <c r="DG184" s="33"/>
      <c r="DH184" s="33"/>
      <c r="DI184" s="33"/>
      <c r="DJ184" s="33"/>
      <c r="DK184" s="33"/>
      <c r="DL184" s="33"/>
      <c r="DM184" s="33"/>
      <c r="DN184" s="91"/>
      <c r="DO184" s="77"/>
    </row>
    <row r="185" spans="1:119" ht="15.75">
      <c r="A185" s="980"/>
      <c r="B185" s="231"/>
      <c r="C185" s="89"/>
      <c r="D185" s="89"/>
      <c r="E185" s="89"/>
      <c r="F185" s="89"/>
      <c r="G185" s="89"/>
      <c r="H185" s="983"/>
      <c r="I185" s="979"/>
      <c r="J185" s="33"/>
      <c r="K185" s="33"/>
      <c r="L185" s="33"/>
      <c r="M185" s="57"/>
      <c r="N185" s="60"/>
      <c r="O185" s="128"/>
      <c r="P185" s="128"/>
      <c r="CO185" s="33"/>
      <c r="CP185" s="33"/>
      <c r="CQ185" s="33"/>
      <c r="CR185" s="33"/>
      <c r="CS185" s="33"/>
      <c r="CT185" s="33"/>
      <c r="CU185" s="33"/>
      <c r="CV185" s="33"/>
      <c r="CW185" s="33"/>
      <c r="CX185" s="33"/>
      <c r="CY185" s="33"/>
      <c r="CZ185" s="33"/>
      <c r="DA185" s="33"/>
      <c r="DB185" s="33"/>
      <c r="DC185" s="33"/>
      <c r="DD185" s="33"/>
      <c r="DE185" s="33"/>
      <c r="DF185" s="33"/>
      <c r="DG185" s="33"/>
      <c r="DH185" s="33"/>
      <c r="DI185" s="33"/>
      <c r="DJ185" s="33"/>
      <c r="DK185" s="33"/>
      <c r="DL185" s="33"/>
      <c r="DM185" s="33"/>
      <c r="DN185" s="91"/>
      <c r="DO185" s="77"/>
    </row>
    <row r="186" spans="1:119" ht="15.75">
      <c r="A186" s="980"/>
      <c r="B186" s="231"/>
      <c r="C186" s="89"/>
      <c r="D186" s="89"/>
      <c r="E186" s="89"/>
      <c r="F186" s="89"/>
      <c r="G186" s="89"/>
      <c r="H186" s="983"/>
      <c r="I186" s="979"/>
      <c r="J186" s="33"/>
      <c r="K186" s="33"/>
      <c r="L186" s="33"/>
      <c r="M186" s="33"/>
      <c r="O186" s="77"/>
      <c r="P186" s="128"/>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91"/>
      <c r="DO186" s="77"/>
    </row>
    <row r="187" spans="1:119">
      <c r="A187" s="89"/>
      <c r="B187" s="231"/>
      <c r="C187" s="38"/>
      <c r="D187" s="232"/>
      <c r="E187" s="89"/>
      <c r="F187" s="89"/>
      <c r="G187" s="89"/>
      <c r="H187" s="89"/>
      <c r="I187" s="984"/>
      <c r="J187" s="33"/>
      <c r="K187" s="33"/>
      <c r="L187" s="33"/>
      <c r="M187" s="210"/>
      <c r="N187" s="60"/>
      <c r="O187" s="128"/>
      <c r="P187" s="128"/>
      <c r="CO187" s="33"/>
      <c r="CP187" s="33"/>
      <c r="CQ187" s="33"/>
      <c r="CR187" s="33"/>
      <c r="CS187" s="33"/>
      <c r="CT187" s="33"/>
      <c r="CU187" s="33"/>
      <c r="CV187" s="33"/>
      <c r="CW187" s="33"/>
      <c r="CX187" s="33"/>
      <c r="CY187" s="33"/>
      <c r="CZ187" s="33"/>
      <c r="DA187" s="33"/>
      <c r="DB187" s="33"/>
      <c r="DC187" s="33"/>
      <c r="DD187" s="33"/>
      <c r="DE187" s="33"/>
      <c r="DF187" s="33"/>
      <c r="DG187" s="33"/>
      <c r="DH187" s="33"/>
      <c r="DI187" s="33"/>
      <c r="DJ187" s="33"/>
      <c r="DK187" s="33"/>
      <c r="DL187" s="33"/>
      <c r="DM187" s="33"/>
      <c r="DN187" s="91"/>
      <c r="DO187" s="77"/>
    </row>
    <row r="188" spans="1:119">
      <c r="A188" s="89"/>
      <c r="B188" s="53"/>
      <c r="C188" s="110"/>
      <c r="D188" s="110"/>
      <c r="E188" s="89"/>
      <c r="F188" s="89"/>
      <c r="G188" s="89"/>
      <c r="H188" s="89"/>
      <c r="I188" s="984"/>
      <c r="J188" s="33"/>
      <c r="K188" s="33"/>
      <c r="L188" s="33"/>
      <c r="M188" s="57"/>
      <c r="N188" s="191"/>
      <c r="O188" s="128"/>
      <c r="P188" s="128"/>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91"/>
      <c r="DO188" s="77"/>
    </row>
    <row r="189" spans="1:119">
      <c r="A189" s="230"/>
      <c r="B189" s="89"/>
      <c r="C189" s="89"/>
      <c r="D189" s="89"/>
      <c r="E189" s="89"/>
      <c r="F189" s="89"/>
      <c r="G189" s="89"/>
      <c r="H189" s="89"/>
      <c r="I189" s="56"/>
      <c r="J189" s="33"/>
      <c r="K189" s="33"/>
      <c r="L189" s="33"/>
      <c r="M189" s="57"/>
      <c r="N189" s="60"/>
      <c r="O189" s="128"/>
      <c r="CO189" s="33"/>
      <c r="CP189" s="33"/>
      <c r="CQ189" s="33"/>
      <c r="CR189" s="33"/>
      <c r="CS189" s="33"/>
      <c r="CT189" s="33"/>
      <c r="CU189" s="33"/>
      <c r="CV189" s="33"/>
      <c r="CW189" s="33"/>
      <c r="CX189" s="33"/>
      <c r="CY189" s="33"/>
      <c r="CZ189" s="33"/>
      <c r="DA189" s="33"/>
      <c r="DB189" s="33"/>
      <c r="DC189" s="33"/>
      <c r="DD189" s="33"/>
      <c r="DE189" s="33"/>
      <c r="DF189" s="33"/>
      <c r="DG189" s="33"/>
      <c r="DH189" s="33"/>
      <c r="DI189" s="33"/>
      <c r="DJ189" s="33"/>
      <c r="DK189" s="33"/>
      <c r="DL189" s="33"/>
      <c r="DM189" s="33"/>
      <c r="DN189" s="91"/>
      <c r="DO189" s="60"/>
    </row>
    <row r="190" spans="1:119" ht="15.75">
      <c r="A190" s="980"/>
      <c r="B190" s="231"/>
      <c r="C190" s="89"/>
      <c r="D190" s="89"/>
      <c r="E190" s="89"/>
      <c r="F190" s="89"/>
      <c r="G190" s="89"/>
      <c r="H190" s="983"/>
      <c r="I190" s="979"/>
      <c r="J190" s="33"/>
      <c r="K190" s="33"/>
      <c r="L190" s="33"/>
      <c r="M190" s="57"/>
      <c r="N190" s="218"/>
      <c r="O190" s="128"/>
      <c r="P190" s="128"/>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91"/>
      <c r="DO190" s="191"/>
    </row>
    <row r="191" spans="1:119" ht="15.75">
      <c r="A191" s="980"/>
      <c r="B191" s="231"/>
      <c r="C191" s="89"/>
      <c r="D191" s="89"/>
      <c r="E191" s="89"/>
      <c r="F191" s="89"/>
      <c r="G191" s="38"/>
      <c r="H191" s="983"/>
      <c r="I191" s="979"/>
      <c r="J191" s="33"/>
      <c r="K191" s="33"/>
      <c r="L191" s="33"/>
      <c r="M191" s="57"/>
      <c r="N191" s="60"/>
      <c r="O191" s="128"/>
      <c r="CO191" s="33"/>
      <c r="CP191" s="33"/>
      <c r="CQ191" s="33"/>
      <c r="CR191" s="33"/>
      <c r="CS191" s="33"/>
      <c r="CT191" s="33"/>
      <c r="CU191" s="33"/>
      <c r="CV191" s="33"/>
      <c r="CW191" s="33"/>
      <c r="CX191" s="33"/>
      <c r="CY191" s="33"/>
      <c r="CZ191" s="33"/>
      <c r="DA191" s="33"/>
      <c r="DB191" s="33"/>
      <c r="DC191" s="33"/>
      <c r="DD191" s="33"/>
      <c r="DE191" s="33"/>
      <c r="DF191" s="33"/>
      <c r="DG191" s="33"/>
      <c r="DH191" s="33"/>
      <c r="DI191" s="33"/>
      <c r="DJ191" s="33"/>
      <c r="DK191" s="33"/>
      <c r="DL191" s="33"/>
      <c r="DM191" s="33"/>
      <c r="DN191" s="91"/>
      <c r="DO191" s="60"/>
    </row>
    <row r="192" spans="1:119">
      <c r="A192" s="89"/>
      <c r="B192" s="53"/>
      <c r="C192" s="110"/>
      <c r="D192" s="110"/>
      <c r="E192" s="38"/>
      <c r="F192" s="89"/>
      <c r="G192" s="89"/>
      <c r="H192" s="68"/>
      <c r="I192" s="985"/>
      <c r="J192" s="33"/>
      <c r="K192" s="33"/>
      <c r="L192" s="33"/>
      <c r="M192" s="57"/>
      <c r="N192" s="60"/>
      <c r="O192" s="128"/>
      <c r="P192" s="128"/>
      <c r="CO192" s="33"/>
      <c r="CP192" s="33"/>
      <c r="CQ192" s="33"/>
      <c r="CR192" s="33"/>
      <c r="CS192" s="33"/>
      <c r="CT192" s="33"/>
      <c r="CU192" s="33"/>
      <c r="CV192" s="33"/>
      <c r="CW192" s="33"/>
      <c r="CX192" s="33"/>
      <c r="CY192" s="33"/>
      <c r="CZ192" s="33"/>
      <c r="DA192" s="33"/>
      <c r="DB192" s="33"/>
      <c r="DC192" s="33"/>
      <c r="DD192" s="33"/>
      <c r="DE192" s="33"/>
      <c r="DF192" s="33"/>
      <c r="DG192" s="33"/>
      <c r="DH192" s="33"/>
      <c r="DI192" s="33"/>
      <c r="DJ192" s="33"/>
      <c r="DK192" s="33"/>
      <c r="DL192" s="33"/>
      <c r="DM192" s="33"/>
      <c r="DN192" s="91"/>
      <c r="DO192" s="77"/>
    </row>
    <row r="193" spans="1:119">
      <c r="A193" s="89"/>
      <c r="B193" s="89"/>
      <c r="C193" s="89"/>
      <c r="D193" s="89"/>
      <c r="E193" s="89"/>
      <c r="F193" s="89"/>
      <c r="G193" s="89"/>
      <c r="H193" s="89"/>
      <c r="I193" s="89"/>
      <c r="J193" s="33"/>
      <c r="K193" s="33"/>
      <c r="L193" s="33"/>
      <c r="M193" s="33"/>
      <c r="O193" s="77"/>
      <c r="P193" s="128"/>
      <c r="CO193" s="33"/>
      <c r="CP193" s="33"/>
      <c r="CQ193" s="33"/>
      <c r="CR193" s="33"/>
      <c r="CS193" s="33"/>
      <c r="CT193" s="33"/>
      <c r="CU193" s="33"/>
      <c r="CV193" s="33"/>
      <c r="CW193" s="33"/>
      <c r="CX193" s="33"/>
      <c r="CY193" s="33"/>
      <c r="CZ193" s="33"/>
      <c r="DA193" s="33"/>
      <c r="DB193" s="33"/>
      <c r="DC193" s="33"/>
      <c r="DD193" s="33"/>
      <c r="DE193" s="33"/>
      <c r="DF193" s="33"/>
      <c r="DG193" s="33"/>
      <c r="DH193" s="33"/>
      <c r="DI193" s="33"/>
      <c r="DJ193" s="33"/>
      <c r="DK193" s="33"/>
      <c r="DL193" s="33"/>
      <c r="DM193" s="33"/>
      <c r="DN193" s="91"/>
      <c r="DO193" s="77"/>
    </row>
    <row r="194" spans="1:119">
      <c r="A194" s="982"/>
      <c r="B194" s="231"/>
      <c r="C194" s="110"/>
      <c r="D194" s="110"/>
      <c r="E194" s="38"/>
      <c r="F194" s="38"/>
      <c r="G194" s="89"/>
      <c r="H194" s="235"/>
      <c r="I194" s="236"/>
      <c r="J194" s="33"/>
      <c r="K194" s="33"/>
      <c r="L194" s="33"/>
      <c r="M194" s="57"/>
      <c r="N194" s="60"/>
      <c r="O194" s="128"/>
      <c r="P194" s="128"/>
      <c r="CO194" s="33"/>
      <c r="CP194" s="33"/>
      <c r="CQ194" s="33"/>
      <c r="CR194" s="33"/>
      <c r="CS194" s="33"/>
      <c r="CT194" s="33"/>
      <c r="CU194" s="33"/>
      <c r="CV194" s="33"/>
      <c r="CW194" s="33"/>
      <c r="CX194" s="33"/>
      <c r="CY194" s="33"/>
      <c r="CZ194" s="33"/>
      <c r="DA194" s="33"/>
      <c r="DB194" s="33"/>
      <c r="DC194" s="33"/>
      <c r="DD194" s="33"/>
      <c r="DE194" s="33"/>
      <c r="DF194" s="33"/>
      <c r="DG194" s="33"/>
      <c r="DH194" s="33"/>
      <c r="DI194" s="33"/>
      <c r="DJ194" s="33"/>
      <c r="DK194" s="33"/>
      <c r="DL194" s="33"/>
      <c r="DM194" s="33"/>
      <c r="DN194" s="91"/>
      <c r="DO194" s="77"/>
    </row>
    <row r="195" spans="1:119">
      <c r="A195" s="68"/>
      <c r="B195" s="231"/>
      <c r="C195" s="921"/>
      <c r="D195" s="110"/>
      <c r="E195" s="89"/>
      <c r="F195" s="89"/>
      <c r="G195" s="89"/>
      <c r="H195" s="89"/>
      <c r="I195" s="56"/>
      <c r="J195" s="33"/>
      <c r="K195" s="33"/>
      <c r="L195" s="33"/>
      <c r="M195" s="57"/>
      <c r="N195" s="191"/>
      <c r="O195" s="128"/>
      <c r="P195" s="128"/>
      <c r="CO195" s="33"/>
      <c r="CP195" s="33"/>
      <c r="CQ195" s="33"/>
      <c r="CR195" s="33"/>
      <c r="CS195" s="33"/>
      <c r="CT195" s="33"/>
      <c r="CU195" s="33"/>
      <c r="CV195" s="33"/>
      <c r="CW195" s="33"/>
      <c r="CX195" s="33"/>
      <c r="CY195" s="33"/>
      <c r="CZ195" s="33"/>
      <c r="DA195" s="33"/>
      <c r="DB195" s="33"/>
      <c r="DC195" s="33"/>
      <c r="DD195" s="33"/>
      <c r="DE195" s="33"/>
      <c r="DF195" s="33"/>
      <c r="DG195" s="33"/>
      <c r="DH195" s="33"/>
      <c r="DI195" s="33"/>
      <c r="DJ195" s="33"/>
      <c r="DK195" s="33"/>
      <c r="DL195" s="33"/>
      <c r="DM195" s="33"/>
      <c r="DN195" s="91"/>
      <c r="DO195" s="77"/>
    </row>
    <row r="196" spans="1:119">
      <c r="A196" s="68"/>
      <c r="B196" s="231"/>
      <c r="C196" s="110"/>
      <c r="D196" s="110"/>
      <c r="E196" s="38"/>
      <c r="F196" s="38"/>
      <c r="G196" s="38"/>
      <c r="H196" s="38"/>
      <c r="I196" s="236"/>
      <c r="J196" s="33"/>
      <c r="K196" s="33"/>
      <c r="L196" s="33"/>
      <c r="M196" s="190"/>
      <c r="N196" s="191"/>
      <c r="O196" s="128"/>
      <c r="P196" s="129"/>
      <c r="CO196" s="33"/>
      <c r="CP196" s="33"/>
      <c r="CQ196" s="33"/>
      <c r="CR196" s="33"/>
      <c r="CS196" s="33"/>
      <c r="CT196" s="33"/>
      <c r="CU196" s="33"/>
      <c r="CV196" s="33"/>
      <c r="CW196" s="33"/>
      <c r="CX196" s="33"/>
      <c r="CY196" s="33"/>
      <c r="CZ196" s="33"/>
      <c r="DA196" s="33"/>
      <c r="DB196" s="33"/>
      <c r="DC196" s="33"/>
      <c r="DD196" s="33"/>
      <c r="DE196" s="33"/>
      <c r="DF196" s="33"/>
      <c r="DG196" s="33"/>
      <c r="DH196" s="33"/>
      <c r="DI196" s="33"/>
      <c r="DJ196" s="33"/>
      <c r="DK196" s="33"/>
      <c r="DL196" s="33"/>
      <c r="DM196" s="33"/>
      <c r="DN196" s="91"/>
      <c r="DO196" s="77"/>
    </row>
    <row r="197" spans="1:119">
      <c r="A197" s="68"/>
      <c r="B197" s="231"/>
      <c r="C197" s="110"/>
      <c r="D197" s="110"/>
      <c r="E197" s="89"/>
      <c r="F197" s="89"/>
      <c r="G197" s="89"/>
      <c r="H197" s="235"/>
      <c r="I197" s="236"/>
      <c r="J197" s="33"/>
      <c r="K197" s="33"/>
      <c r="L197" s="33"/>
      <c r="M197" s="190"/>
      <c r="N197" s="191"/>
      <c r="O197" s="128"/>
      <c r="P197" s="129"/>
      <c r="CO197" s="33"/>
      <c r="CP197" s="33"/>
      <c r="CQ197" s="33"/>
      <c r="CR197" s="33"/>
      <c r="CS197" s="33"/>
      <c r="CT197" s="33"/>
      <c r="CU197" s="33"/>
      <c r="CV197" s="33"/>
      <c r="CW197" s="33"/>
      <c r="CX197" s="33"/>
      <c r="CY197" s="33"/>
      <c r="CZ197" s="33"/>
      <c r="DA197" s="33"/>
      <c r="DB197" s="33"/>
      <c r="DC197" s="33"/>
      <c r="DD197" s="33"/>
      <c r="DE197" s="33"/>
      <c r="DF197" s="33"/>
      <c r="DG197" s="33"/>
      <c r="DH197" s="33"/>
      <c r="DI197" s="33"/>
      <c r="DJ197" s="33"/>
      <c r="DK197" s="33"/>
      <c r="DL197" s="33"/>
      <c r="DM197" s="33"/>
      <c r="DN197" s="91"/>
      <c r="DO197" s="77"/>
    </row>
    <row r="198" spans="1:119">
      <c r="A198" s="68"/>
      <c r="B198" s="231"/>
      <c r="C198" s="110"/>
      <c r="D198" s="110"/>
      <c r="E198" s="38"/>
      <c r="F198" s="38"/>
      <c r="G198" s="38"/>
      <c r="H198" s="38"/>
      <c r="I198" s="236"/>
      <c r="J198" s="33"/>
      <c r="K198" s="33"/>
      <c r="L198" s="33"/>
      <c r="M198" s="33"/>
      <c r="O198" s="77"/>
      <c r="P198" s="128"/>
      <c r="CO198" s="33"/>
      <c r="CP198" s="33"/>
      <c r="CQ198" s="33"/>
      <c r="CR198" s="33"/>
      <c r="CS198" s="33"/>
      <c r="CT198" s="33"/>
      <c r="CU198" s="33"/>
      <c r="CV198" s="33"/>
      <c r="CW198" s="33"/>
      <c r="CX198" s="33"/>
      <c r="CY198" s="33"/>
      <c r="CZ198" s="33"/>
      <c r="DA198" s="33"/>
      <c r="DB198" s="33"/>
      <c r="DC198" s="33"/>
      <c r="DD198" s="33"/>
      <c r="DE198" s="33"/>
      <c r="DF198" s="33"/>
      <c r="DG198" s="33"/>
      <c r="DH198" s="33"/>
      <c r="DI198" s="33"/>
      <c r="DJ198" s="33"/>
      <c r="DK198" s="33"/>
      <c r="DL198" s="33"/>
      <c r="DM198" s="33"/>
      <c r="DN198" s="91"/>
      <c r="DO198" s="77"/>
    </row>
    <row r="199" spans="1:119">
      <c r="A199" s="68"/>
      <c r="B199" s="231"/>
      <c r="C199" s="110"/>
      <c r="D199" s="110"/>
      <c r="E199" s="38"/>
      <c r="F199" s="38"/>
      <c r="G199" s="38"/>
      <c r="H199" s="983"/>
      <c r="I199" s="979"/>
      <c r="J199" s="33"/>
      <c r="K199" s="33"/>
      <c r="L199" s="33"/>
      <c r="M199" s="57"/>
      <c r="N199" s="191"/>
      <c r="O199" s="128"/>
      <c r="P199" s="128"/>
      <c r="CO199" s="33"/>
      <c r="CP199" s="33"/>
      <c r="CQ199" s="33"/>
      <c r="CR199" s="33"/>
      <c r="CS199" s="33"/>
      <c r="CT199" s="33"/>
      <c r="CU199" s="33"/>
      <c r="CV199" s="33"/>
      <c r="CW199" s="33"/>
      <c r="CX199" s="33"/>
      <c r="CY199" s="33"/>
      <c r="CZ199" s="33"/>
      <c r="DA199" s="33"/>
      <c r="DB199" s="33"/>
      <c r="DC199" s="33"/>
      <c r="DD199" s="33"/>
      <c r="DE199" s="33"/>
      <c r="DF199" s="33"/>
      <c r="DG199" s="33"/>
      <c r="DH199" s="33"/>
      <c r="DI199" s="33"/>
      <c r="DJ199" s="33"/>
      <c r="DK199" s="33"/>
      <c r="DL199" s="33"/>
      <c r="DM199" s="33"/>
      <c r="DN199" s="91"/>
      <c r="DO199" s="77"/>
    </row>
    <row r="200" spans="1:119">
      <c r="A200" s="234"/>
      <c r="B200" s="986"/>
      <c r="C200" s="38"/>
      <c r="D200" s="987"/>
      <c r="E200" s="89"/>
      <c r="F200" s="89"/>
      <c r="G200" s="89"/>
      <c r="H200" s="89"/>
      <c r="I200" s="89"/>
      <c r="J200" s="33"/>
      <c r="K200" s="33"/>
      <c r="L200" s="33"/>
      <c r="M200" s="57"/>
      <c r="N200" s="60"/>
      <c r="O200" s="128"/>
      <c r="P200" s="128"/>
      <c r="CO200" s="33"/>
      <c r="CP200" s="33"/>
      <c r="CQ200" s="33"/>
      <c r="CR200" s="33"/>
      <c r="CS200" s="33"/>
      <c r="CT200" s="33"/>
      <c r="CU200" s="33"/>
      <c r="CV200" s="33"/>
      <c r="CW200" s="33"/>
      <c r="CX200" s="33"/>
      <c r="CY200" s="33"/>
      <c r="CZ200" s="33"/>
      <c r="DA200" s="33"/>
      <c r="DB200" s="33"/>
      <c r="DC200" s="33"/>
      <c r="DD200" s="33"/>
      <c r="DE200" s="33"/>
      <c r="DF200" s="33"/>
      <c r="DG200" s="33"/>
      <c r="DH200" s="33"/>
      <c r="DI200" s="33"/>
      <c r="DJ200" s="33"/>
      <c r="DK200" s="33"/>
      <c r="DL200" s="33"/>
      <c r="DM200" s="33"/>
      <c r="DN200" s="91"/>
      <c r="DO200" s="77"/>
    </row>
    <row r="201" spans="1:119">
      <c r="A201" s="234"/>
      <c r="B201" s="53"/>
      <c r="C201" s="110"/>
      <c r="D201" s="110"/>
      <c r="E201" s="100"/>
      <c r="F201" s="89"/>
      <c r="G201" s="89"/>
      <c r="H201" s="89"/>
      <c r="I201" s="38"/>
      <c r="J201" s="33"/>
      <c r="K201" s="33"/>
      <c r="L201" s="33"/>
      <c r="M201" s="57"/>
      <c r="N201" s="60"/>
      <c r="O201" s="128"/>
      <c r="P201" s="128"/>
      <c r="CO201" s="33"/>
      <c r="CP201" s="33"/>
      <c r="CQ201" s="33"/>
      <c r="CR201" s="33"/>
      <c r="CS201" s="33"/>
      <c r="CT201" s="33"/>
      <c r="CU201" s="33"/>
      <c r="CV201" s="33"/>
      <c r="CW201" s="33"/>
      <c r="CX201" s="33"/>
      <c r="CY201" s="33"/>
      <c r="CZ201" s="33"/>
      <c r="DA201" s="33"/>
      <c r="DB201" s="33"/>
      <c r="DC201" s="33"/>
      <c r="DD201" s="33"/>
      <c r="DE201" s="33"/>
      <c r="DF201" s="33"/>
      <c r="DG201" s="33"/>
      <c r="DH201" s="33"/>
      <c r="DI201" s="33"/>
      <c r="DJ201" s="33"/>
      <c r="DK201" s="33"/>
      <c r="DL201" s="33"/>
      <c r="DM201" s="33"/>
      <c r="DN201" s="91"/>
      <c r="DO201" s="77"/>
    </row>
    <row r="202" spans="1:119">
      <c r="A202" s="234"/>
      <c r="B202" s="44"/>
      <c r="C202" s="110"/>
      <c r="D202" s="110"/>
      <c r="E202" s="100"/>
      <c r="F202" s="89"/>
      <c r="G202" s="89"/>
      <c r="H202" s="89"/>
      <c r="I202" s="38"/>
      <c r="J202" s="33"/>
      <c r="K202" s="33"/>
      <c r="L202" s="33"/>
      <c r="M202" s="33"/>
      <c r="O202" s="77"/>
      <c r="P202" s="128"/>
      <c r="CO202" s="33"/>
      <c r="CP202" s="33"/>
      <c r="CQ202" s="33"/>
      <c r="CR202" s="33"/>
      <c r="CS202" s="33"/>
      <c r="CT202" s="33"/>
      <c r="CU202" s="33"/>
      <c r="CV202" s="33"/>
      <c r="CW202" s="33"/>
      <c r="CX202" s="33"/>
      <c r="CY202" s="33"/>
      <c r="CZ202" s="33"/>
      <c r="DA202" s="33"/>
      <c r="DB202" s="33"/>
      <c r="DC202" s="33"/>
      <c r="DD202" s="33"/>
      <c r="DE202" s="33"/>
      <c r="DF202" s="33"/>
      <c r="DG202" s="33"/>
      <c r="DH202" s="33"/>
      <c r="DI202" s="33"/>
      <c r="DJ202" s="33"/>
      <c r="DK202" s="33"/>
      <c r="DL202" s="33"/>
      <c r="DM202" s="33"/>
      <c r="DN202" s="91"/>
      <c r="DO202" s="77"/>
    </row>
    <row r="203" spans="1:119">
      <c r="A203" s="230"/>
      <c r="B203" s="231"/>
      <c r="C203" s="110"/>
      <c r="D203" s="232"/>
      <c r="E203" s="233"/>
      <c r="F203" s="89"/>
      <c r="G203" s="89"/>
      <c r="H203" s="89"/>
      <c r="I203" s="89"/>
      <c r="J203" s="33"/>
      <c r="K203" s="33"/>
      <c r="L203" s="33"/>
      <c r="M203" s="57"/>
      <c r="N203" s="191"/>
      <c r="O203" s="128"/>
      <c r="P203" s="128"/>
      <c r="CO203" s="33"/>
      <c r="CP203" s="33"/>
      <c r="CQ203" s="33"/>
      <c r="CR203" s="33"/>
      <c r="CS203" s="33"/>
      <c r="CT203" s="33"/>
      <c r="CU203" s="33"/>
      <c r="CV203" s="33"/>
      <c r="CW203" s="33"/>
      <c r="CX203" s="33"/>
      <c r="CY203" s="33"/>
      <c r="CZ203" s="33"/>
      <c r="DA203" s="33"/>
      <c r="DB203" s="33"/>
      <c r="DC203" s="33"/>
      <c r="DD203" s="33"/>
      <c r="DE203" s="33"/>
      <c r="DF203" s="33"/>
      <c r="DG203" s="33"/>
      <c r="DH203" s="33"/>
      <c r="DI203" s="33"/>
      <c r="DJ203" s="33"/>
      <c r="DK203" s="33"/>
      <c r="DL203" s="33"/>
      <c r="DM203" s="33"/>
      <c r="DN203" s="91"/>
      <c r="DO203" s="77"/>
    </row>
    <row r="204" spans="1:119">
      <c r="A204" s="234"/>
      <c r="B204" s="231"/>
      <c r="C204" s="110"/>
      <c r="D204" s="232"/>
      <c r="E204" s="233"/>
      <c r="F204" s="89"/>
      <c r="G204" s="89"/>
      <c r="H204" s="89"/>
      <c r="I204" s="89"/>
      <c r="J204" s="33"/>
      <c r="K204" s="33"/>
      <c r="L204" s="33"/>
      <c r="M204" s="57"/>
      <c r="N204" s="60"/>
      <c r="O204" s="128"/>
      <c r="P204" s="128"/>
      <c r="CO204" s="33"/>
      <c r="CP204" s="33"/>
      <c r="CQ204" s="33"/>
      <c r="CR204" s="33"/>
      <c r="CS204" s="33"/>
      <c r="CT204" s="33"/>
      <c r="CU204" s="33"/>
      <c r="CV204" s="33"/>
      <c r="CW204" s="33"/>
      <c r="CX204" s="33"/>
      <c r="CY204" s="33"/>
      <c r="CZ204" s="33"/>
      <c r="DA204" s="33"/>
      <c r="DB204" s="33"/>
      <c r="DC204" s="33"/>
      <c r="DD204" s="33"/>
      <c r="DE204" s="33"/>
      <c r="DF204" s="33"/>
      <c r="DG204" s="33"/>
      <c r="DH204" s="33"/>
      <c r="DI204" s="33"/>
      <c r="DJ204" s="33"/>
      <c r="DK204" s="33"/>
      <c r="DL204" s="33"/>
      <c r="DM204" s="33"/>
      <c r="DN204" s="91"/>
      <c r="DO204" s="77"/>
    </row>
    <row r="205" spans="1:119">
      <c r="A205" s="68"/>
      <c r="B205" s="231"/>
      <c r="C205" s="89"/>
      <c r="D205" s="110"/>
      <c r="E205" s="89"/>
      <c r="F205" s="89"/>
      <c r="G205" s="89"/>
      <c r="H205" s="89"/>
      <c r="I205" s="89"/>
      <c r="J205" s="33"/>
      <c r="K205" s="33"/>
      <c r="L205" s="33"/>
      <c r="M205" s="57"/>
      <c r="N205" s="191"/>
      <c r="O205" s="128"/>
      <c r="P205" s="128"/>
      <c r="CO205" s="33"/>
      <c r="CP205" s="33"/>
      <c r="CQ205" s="33"/>
      <c r="CR205" s="33"/>
      <c r="CS205" s="33"/>
      <c r="CT205" s="33"/>
      <c r="CU205" s="33"/>
      <c r="CV205" s="33"/>
      <c r="CW205" s="33"/>
      <c r="CX205" s="33"/>
      <c r="CY205" s="33"/>
      <c r="CZ205" s="33"/>
      <c r="DA205" s="33"/>
      <c r="DB205" s="33"/>
      <c r="DC205" s="33"/>
      <c r="DD205" s="33"/>
      <c r="DE205" s="33"/>
      <c r="DF205" s="33"/>
      <c r="DG205" s="33"/>
      <c r="DH205" s="33"/>
      <c r="DI205" s="33"/>
      <c r="DJ205" s="33"/>
      <c r="DK205" s="33"/>
      <c r="DL205" s="33"/>
      <c r="DM205" s="33"/>
      <c r="DN205" s="91"/>
      <c r="DO205" s="77"/>
    </row>
    <row r="206" spans="1:119">
      <c r="A206" s="68"/>
      <c r="B206" s="231"/>
      <c r="C206" s="89"/>
      <c r="D206" s="89"/>
      <c r="E206" s="89"/>
      <c r="F206" s="89"/>
      <c r="G206" s="235"/>
      <c r="H206" s="89"/>
      <c r="I206" s="89"/>
      <c r="J206" s="33"/>
      <c r="K206" s="33"/>
      <c r="L206" s="33"/>
      <c r="M206" s="190"/>
      <c r="N206" s="191"/>
      <c r="O206" s="128"/>
      <c r="P206" s="129"/>
      <c r="CO206" s="33"/>
      <c r="CP206" s="33"/>
      <c r="CQ206" s="33"/>
      <c r="CR206" s="33"/>
      <c r="CS206" s="33"/>
      <c r="CT206" s="33"/>
      <c r="CU206" s="33"/>
      <c r="CV206" s="33"/>
      <c r="CW206" s="33"/>
      <c r="CX206" s="33"/>
      <c r="CY206" s="33"/>
      <c r="CZ206" s="33"/>
      <c r="DA206" s="33"/>
      <c r="DB206" s="33"/>
      <c r="DC206" s="33"/>
      <c r="DD206" s="33"/>
      <c r="DE206" s="33"/>
      <c r="DF206" s="33"/>
      <c r="DG206" s="33"/>
      <c r="DH206" s="33"/>
      <c r="DI206" s="33"/>
      <c r="DJ206" s="33"/>
      <c r="DK206" s="33"/>
      <c r="DL206" s="33"/>
      <c r="DM206" s="33"/>
      <c r="DN206" s="91"/>
      <c r="DO206" s="77"/>
    </row>
    <row r="207" spans="1:119">
      <c r="A207" s="234"/>
      <c r="B207" s="231"/>
      <c r="C207" s="110"/>
      <c r="D207" s="38"/>
      <c r="E207" s="38"/>
      <c r="F207" s="38"/>
      <c r="G207" s="38"/>
      <c r="H207" s="38"/>
      <c r="I207" s="38"/>
      <c r="J207" s="33"/>
      <c r="K207" s="33"/>
      <c r="L207" s="33"/>
      <c r="M207" s="190"/>
      <c r="N207" s="191"/>
      <c r="O207" s="128"/>
      <c r="P207" s="129"/>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91"/>
      <c r="DO207" s="77"/>
    </row>
    <row r="208" spans="1:119">
      <c r="A208" s="234"/>
      <c r="B208" s="25"/>
      <c r="C208" s="38"/>
      <c r="D208" s="110"/>
      <c r="E208" s="38"/>
      <c r="F208" s="38"/>
      <c r="G208" s="38"/>
      <c r="H208" s="38"/>
      <c r="I208" s="38"/>
      <c r="J208" s="33"/>
      <c r="K208" s="33"/>
      <c r="L208" s="33"/>
      <c r="M208" s="33"/>
      <c r="O208" s="77"/>
      <c r="P208" s="128"/>
      <c r="CO208" s="33"/>
      <c r="CP208" s="33"/>
      <c r="CQ208" s="33"/>
      <c r="CR208" s="33"/>
      <c r="CS208" s="33"/>
      <c r="CT208" s="33"/>
      <c r="CU208" s="33"/>
      <c r="CV208" s="33"/>
      <c r="CW208" s="33"/>
      <c r="CX208" s="33"/>
      <c r="CY208" s="33"/>
      <c r="CZ208" s="33"/>
      <c r="DA208" s="33"/>
      <c r="DB208" s="33"/>
      <c r="DC208" s="33"/>
      <c r="DD208" s="33"/>
      <c r="DE208" s="33"/>
      <c r="DF208" s="33"/>
      <c r="DG208" s="33"/>
      <c r="DH208" s="33"/>
      <c r="DI208" s="33"/>
      <c r="DJ208" s="33"/>
      <c r="DK208" s="33"/>
      <c r="DL208" s="33"/>
      <c r="DM208" s="33"/>
      <c r="DN208" s="91"/>
      <c r="DO208" s="77"/>
    </row>
    <row r="209" spans="1:119">
      <c r="A209" s="38"/>
      <c r="B209" s="89"/>
      <c r="C209" s="38"/>
      <c r="D209" s="110"/>
      <c r="E209" s="38"/>
      <c r="F209" s="38"/>
      <c r="G209" s="38"/>
      <c r="H209" s="89"/>
      <c r="I209" s="38"/>
      <c r="J209" s="33"/>
      <c r="K209" s="33"/>
      <c r="L209" s="33"/>
      <c r="M209" s="57"/>
      <c r="N209" s="60"/>
      <c r="O209" s="128"/>
      <c r="P209" s="128"/>
      <c r="CO209" s="33"/>
      <c r="CP209" s="33"/>
      <c r="CQ209" s="33"/>
      <c r="CR209" s="33"/>
      <c r="CS209" s="33"/>
      <c r="CT209" s="33"/>
      <c r="CU209" s="33"/>
      <c r="CV209" s="33"/>
      <c r="CW209" s="33"/>
      <c r="CX209" s="33"/>
      <c r="CY209" s="33"/>
      <c r="CZ209" s="33"/>
      <c r="DA209" s="33"/>
      <c r="DB209" s="33"/>
      <c r="DC209" s="33"/>
      <c r="DD209" s="33"/>
      <c r="DE209" s="33"/>
      <c r="DF209" s="33"/>
      <c r="DG209" s="33"/>
      <c r="DH209" s="33"/>
      <c r="DI209" s="33"/>
      <c r="DJ209" s="33"/>
      <c r="DK209" s="33"/>
      <c r="DL209" s="33"/>
      <c r="DM209" s="33"/>
      <c r="DN209" s="91"/>
      <c r="DO209" s="77"/>
    </row>
    <row r="210" spans="1:119">
      <c r="A210" s="89"/>
      <c r="B210" s="89"/>
      <c r="C210" s="89"/>
      <c r="D210" s="89"/>
      <c r="E210" s="89"/>
      <c r="F210" s="89"/>
      <c r="G210" s="89"/>
      <c r="H210" s="235"/>
      <c r="I210" s="38"/>
      <c r="J210" s="33"/>
      <c r="K210" s="33"/>
      <c r="L210" s="33"/>
      <c r="M210" s="57"/>
      <c r="N210" s="60"/>
      <c r="O210" s="128"/>
      <c r="P210" s="128"/>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91"/>
      <c r="DO210" s="77"/>
    </row>
    <row r="211" spans="1:119">
      <c r="A211" s="89"/>
      <c r="B211" s="89"/>
      <c r="C211" s="89"/>
      <c r="D211" s="89"/>
      <c r="E211" s="89"/>
      <c r="F211" s="89"/>
      <c r="G211" s="89"/>
      <c r="H211" s="235"/>
      <c r="I211" s="38"/>
      <c r="J211" s="33"/>
      <c r="K211" s="33"/>
      <c r="L211" s="33"/>
      <c r="M211" s="57"/>
      <c r="N211" s="60"/>
      <c r="O211" s="128"/>
      <c r="P211" s="128"/>
      <c r="CO211" s="33"/>
      <c r="CP211" s="33"/>
      <c r="CQ211" s="33"/>
      <c r="CR211" s="33"/>
      <c r="CS211" s="33"/>
      <c r="CT211" s="33"/>
      <c r="CU211" s="33"/>
      <c r="CV211" s="33"/>
      <c r="CW211" s="33"/>
      <c r="CX211" s="33"/>
      <c r="CY211" s="33"/>
      <c r="CZ211" s="33"/>
      <c r="DA211" s="33"/>
      <c r="DB211" s="33"/>
      <c r="DC211" s="33"/>
      <c r="DD211" s="33"/>
      <c r="DE211" s="33"/>
      <c r="DF211" s="33"/>
      <c r="DG211" s="33"/>
      <c r="DH211" s="33"/>
      <c r="DI211" s="33"/>
      <c r="DJ211" s="33"/>
      <c r="DK211" s="33"/>
      <c r="DL211" s="33"/>
      <c r="DM211" s="33"/>
      <c r="DN211" s="91"/>
      <c r="DO211" s="77"/>
    </row>
    <row r="212" spans="1:119">
      <c r="A212" s="89"/>
      <c r="B212" s="89"/>
      <c r="C212" s="89"/>
      <c r="D212" s="89"/>
      <c r="E212" s="89"/>
      <c r="F212" s="89"/>
      <c r="G212" s="89"/>
      <c r="H212" s="235"/>
      <c r="I212" s="38"/>
      <c r="J212" s="33"/>
      <c r="K212" s="33"/>
      <c r="L212" s="33"/>
      <c r="M212" s="57"/>
      <c r="N212" s="60"/>
      <c r="O212" s="128"/>
      <c r="P212" s="128"/>
      <c r="CO212" s="33"/>
      <c r="CP212" s="33"/>
      <c r="CQ212" s="33"/>
      <c r="CR212" s="33"/>
      <c r="CS212" s="33"/>
      <c r="CT212" s="33"/>
      <c r="CU212" s="33"/>
      <c r="CV212" s="33"/>
      <c r="CW212" s="33"/>
      <c r="CX212" s="33"/>
      <c r="CY212" s="33"/>
      <c r="CZ212" s="33"/>
      <c r="DA212" s="33"/>
      <c r="DB212" s="33"/>
      <c r="DC212" s="33"/>
      <c r="DD212" s="33"/>
      <c r="DE212" s="33"/>
      <c r="DF212" s="33"/>
      <c r="DG212" s="33"/>
      <c r="DH212" s="33"/>
      <c r="DI212" s="33"/>
      <c r="DJ212" s="33"/>
      <c r="DK212" s="33"/>
      <c r="DL212" s="33"/>
      <c r="DM212" s="33"/>
      <c r="DN212" s="91"/>
      <c r="DO212" s="77"/>
    </row>
    <row r="213" spans="1:119">
      <c r="A213" s="89"/>
      <c r="B213" s="89"/>
      <c r="C213" s="89"/>
      <c r="D213" s="89"/>
      <c r="E213" s="89"/>
      <c r="F213" s="89"/>
      <c r="G213" s="89"/>
      <c r="H213" s="235"/>
      <c r="I213" s="38"/>
      <c r="J213" s="33"/>
      <c r="K213" s="33"/>
      <c r="L213" s="33"/>
      <c r="M213" s="57"/>
      <c r="N213" s="60"/>
      <c r="O213" s="128"/>
      <c r="P213" s="128"/>
      <c r="CO213" s="33"/>
      <c r="CP213" s="33"/>
      <c r="CQ213" s="33"/>
      <c r="CR213" s="33"/>
      <c r="CS213" s="33"/>
      <c r="CT213" s="33"/>
      <c r="CU213" s="33"/>
      <c r="CV213" s="33"/>
      <c r="CW213" s="33"/>
      <c r="CX213" s="33"/>
      <c r="CY213" s="33"/>
      <c r="CZ213" s="33"/>
      <c r="DA213" s="33"/>
      <c r="DB213" s="33"/>
      <c r="DC213" s="33"/>
      <c r="DD213" s="33"/>
      <c r="DE213" s="33"/>
      <c r="DF213" s="33"/>
      <c r="DG213" s="33"/>
      <c r="DH213" s="33"/>
      <c r="DI213" s="33"/>
      <c r="DJ213" s="33"/>
      <c r="DK213" s="33"/>
      <c r="DL213" s="33"/>
      <c r="DM213" s="33"/>
      <c r="DN213" s="91"/>
      <c r="DO213" s="77"/>
    </row>
    <row r="214" spans="1:119">
      <c r="A214" s="89"/>
      <c r="B214" s="89"/>
      <c r="C214" s="89"/>
      <c r="D214" s="89"/>
      <c r="E214" s="38"/>
      <c r="F214" s="38"/>
      <c r="G214" s="38"/>
      <c r="H214" s="56"/>
      <c r="I214" s="236"/>
      <c r="J214" s="33"/>
      <c r="K214" s="33"/>
      <c r="L214" s="33"/>
      <c r="M214" s="33"/>
      <c r="O214" s="77"/>
      <c r="P214" s="128"/>
      <c r="CO214" s="33"/>
      <c r="CP214" s="33"/>
      <c r="CQ214" s="33"/>
      <c r="CR214" s="33"/>
      <c r="CS214" s="33"/>
      <c r="CT214" s="33"/>
      <c r="CU214" s="33"/>
      <c r="CV214" s="33"/>
      <c r="CW214" s="33"/>
      <c r="CX214" s="33"/>
      <c r="CY214" s="33"/>
      <c r="CZ214" s="33"/>
      <c r="DA214" s="33"/>
      <c r="DB214" s="33"/>
      <c r="DC214" s="33"/>
      <c r="DD214" s="33"/>
      <c r="DE214" s="33"/>
      <c r="DF214" s="33"/>
      <c r="DG214" s="33"/>
      <c r="DH214" s="33"/>
      <c r="DI214" s="33"/>
      <c r="DJ214" s="33"/>
      <c r="DK214" s="33"/>
      <c r="DL214" s="33"/>
      <c r="DM214" s="33"/>
      <c r="DN214" s="91"/>
      <c r="DO214" s="77"/>
    </row>
    <row r="215" spans="1:119">
      <c r="A215" s="89"/>
      <c r="B215" s="89"/>
      <c r="C215" s="89"/>
      <c r="D215" s="89"/>
      <c r="E215" s="89"/>
      <c r="F215" s="89"/>
      <c r="G215" s="89"/>
      <c r="H215" s="56"/>
      <c r="I215" s="726"/>
      <c r="J215" s="33"/>
      <c r="K215" s="33"/>
      <c r="L215" s="33"/>
      <c r="M215" s="57"/>
      <c r="N215" s="27"/>
      <c r="O215" s="128"/>
      <c r="P215" s="128"/>
      <c r="CO215" s="33"/>
      <c r="CP215" s="33"/>
      <c r="CQ215" s="33"/>
      <c r="CR215" s="33"/>
      <c r="CS215" s="33"/>
      <c r="CT215" s="33"/>
      <c r="CU215" s="33"/>
      <c r="CV215" s="33"/>
      <c r="CW215" s="33"/>
      <c r="CX215" s="33"/>
      <c r="CY215" s="33"/>
      <c r="CZ215" s="33"/>
      <c r="DA215" s="33"/>
      <c r="DB215" s="33"/>
      <c r="DC215" s="33"/>
      <c r="DD215" s="33"/>
      <c r="DE215" s="33"/>
      <c r="DF215" s="33"/>
      <c r="DG215" s="33"/>
      <c r="DH215" s="33"/>
      <c r="DI215" s="33"/>
      <c r="DJ215" s="33"/>
      <c r="DK215" s="33"/>
      <c r="DL215" s="33"/>
      <c r="DM215" s="33"/>
      <c r="DN215" s="91"/>
      <c r="DO215" s="77"/>
    </row>
    <row r="216" spans="1:119">
      <c r="A216" s="237"/>
      <c r="B216" s="53"/>
      <c r="C216" s="89"/>
      <c r="D216" s="89"/>
      <c r="E216" s="89"/>
      <c r="F216" s="89"/>
      <c r="G216" s="89"/>
      <c r="H216" s="56"/>
      <c r="I216" s="727"/>
      <c r="J216" s="33"/>
      <c r="K216" s="33"/>
      <c r="L216" s="33"/>
      <c r="M216" s="57"/>
      <c r="N216" s="27"/>
      <c r="O216" s="128"/>
      <c r="P216" s="128"/>
      <c r="CO216" s="33"/>
      <c r="CP216" s="33"/>
      <c r="CQ216" s="33"/>
      <c r="CR216" s="33"/>
      <c r="CS216" s="33"/>
      <c r="CT216" s="33"/>
      <c r="CU216" s="33"/>
      <c r="CV216" s="33"/>
      <c r="CW216" s="33"/>
      <c r="CX216" s="33"/>
      <c r="CY216" s="33"/>
      <c r="CZ216" s="33"/>
      <c r="DA216" s="33"/>
      <c r="DB216" s="33"/>
      <c r="DC216" s="33"/>
      <c r="DD216" s="33"/>
      <c r="DE216" s="33"/>
      <c r="DF216" s="33"/>
      <c r="DG216" s="33"/>
      <c r="DH216" s="33"/>
      <c r="DI216" s="33"/>
      <c r="DJ216" s="33"/>
      <c r="DK216" s="33"/>
      <c r="DL216" s="33"/>
      <c r="DM216" s="33"/>
      <c r="DN216" s="91"/>
      <c r="DO216" s="77"/>
    </row>
    <row r="217" spans="1:119">
      <c r="A217" s="234"/>
      <c r="B217" s="53"/>
      <c r="C217" s="110"/>
      <c r="D217" s="110"/>
      <c r="E217" s="89"/>
      <c r="F217" s="38"/>
      <c r="G217" s="89"/>
      <c r="H217" s="56"/>
      <c r="I217" s="25"/>
      <c r="J217" s="33"/>
      <c r="K217" s="33"/>
      <c r="L217" s="33"/>
      <c r="M217" s="57"/>
      <c r="N217" s="60"/>
      <c r="O217" s="128"/>
      <c r="P217" s="128"/>
      <c r="CO217" s="33"/>
      <c r="CP217" s="33"/>
      <c r="CQ217" s="33"/>
      <c r="CR217" s="33"/>
      <c r="CS217" s="33"/>
      <c r="CT217" s="33"/>
      <c r="CU217" s="33"/>
      <c r="CV217" s="33"/>
      <c r="CW217" s="33"/>
      <c r="CX217" s="33"/>
      <c r="CY217" s="33"/>
      <c r="CZ217" s="33"/>
      <c r="DA217" s="33"/>
      <c r="DB217" s="33"/>
      <c r="DC217" s="33"/>
      <c r="DD217" s="33"/>
      <c r="DE217" s="33"/>
      <c r="DF217" s="33"/>
      <c r="DG217" s="33"/>
      <c r="DH217" s="33"/>
      <c r="DI217" s="33"/>
      <c r="DJ217" s="33"/>
      <c r="DK217" s="33"/>
      <c r="DL217" s="33"/>
      <c r="DM217" s="33"/>
      <c r="DN217" s="91"/>
      <c r="DO217" s="77"/>
    </row>
    <row r="218" spans="1:119">
      <c r="A218" s="234"/>
      <c r="B218" s="53"/>
      <c r="C218" s="110"/>
      <c r="D218" s="110"/>
      <c r="E218" s="89"/>
      <c r="F218" s="38"/>
      <c r="G218" s="89"/>
      <c r="H218" s="56"/>
      <c r="I218" s="25"/>
      <c r="J218" s="33"/>
      <c r="K218" s="33"/>
      <c r="L218" s="33"/>
      <c r="M218" s="57"/>
      <c r="N218" s="60"/>
      <c r="O218" s="128"/>
      <c r="P218" s="128"/>
      <c r="CO218" s="33"/>
      <c r="CP218" s="33"/>
      <c r="CQ218" s="33"/>
      <c r="CR218" s="33"/>
      <c r="CS218" s="33"/>
      <c r="CT218" s="33"/>
      <c r="CU218" s="33"/>
      <c r="CV218" s="33"/>
      <c r="CW218" s="33"/>
      <c r="CX218" s="33"/>
      <c r="CY218" s="33"/>
      <c r="CZ218" s="33"/>
      <c r="DA218" s="33"/>
      <c r="DB218" s="33"/>
      <c r="DC218" s="33"/>
      <c r="DD218" s="33"/>
      <c r="DE218" s="33"/>
      <c r="DF218" s="33"/>
      <c r="DG218" s="33"/>
      <c r="DH218" s="33"/>
      <c r="DI218" s="33"/>
      <c r="DJ218" s="33"/>
      <c r="DK218" s="33"/>
      <c r="DL218" s="33"/>
      <c r="DM218" s="33"/>
      <c r="DN218" s="91"/>
      <c r="DO218" s="77"/>
    </row>
    <row r="219" spans="1:119">
      <c r="A219" s="68"/>
      <c r="B219" s="53"/>
      <c r="C219" s="110"/>
      <c r="D219" s="110"/>
      <c r="E219" s="33"/>
      <c r="F219" s="33"/>
      <c r="G219" s="33"/>
      <c r="H219" s="89"/>
      <c r="I219" s="89"/>
      <c r="J219" s="33"/>
      <c r="K219" s="33"/>
      <c r="L219" s="33"/>
      <c r="M219" s="57"/>
      <c r="N219" s="60"/>
      <c r="O219" s="128"/>
      <c r="P219" s="128"/>
      <c r="CO219" s="33"/>
      <c r="CP219" s="33"/>
      <c r="CQ219" s="33"/>
      <c r="CR219" s="33"/>
      <c r="CS219" s="33"/>
      <c r="CT219" s="33"/>
      <c r="CU219" s="33"/>
      <c r="CV219" s="33"/>
      <c r="CW219" s="33"/>
      <c r="CX219" s="33"/>
      <c r="CY219" s="33"/>
      <c r="CZ219" s="33"/>
      <c r="DA219" s="33"/>
      <c r="DB219" s="33"/>
      <c r="DC219" s="33"/>
      <c r="DD219" s="33"/>
      <c r="DE219" s="33"/>
      <c r="DF219" s="33"/>
      <c r="DG219" s="33"/>
      <c r="DH219" s="33"/>
      <c r="DI219" s="33"/>
      <c r="DJ219" s="33"/>
      <c r="DK219" s="33"/>
      <c r="DL219" s="33"/>
      <c r="DM219" s="33"/>
      <c r="DN219" s="91"/>
      <c r="DO219" s="77"/>
    </row>
    <row r="220" spans="1:119">
      <c r="A220" s="234"/>
      <c r="B220" s="53"/>
      <c r="C220" s="110"/>
      <c r="D220" s="110"/>
      <c r="E220" s="89"/>
      <c r="F220" s="89"/>
      <c r="G220" s="89"/>
      <c r="H220" s="89"/>
      <c r="I220" s="89"/>
      <c r="J220" s="33"/>
      <c r="K220" s="33"/>
      <c r="L220" s="33"/>
      <c r="M220" s="33"/>
      <c r="CO220" s="33"/>
      <c r="CP220" s="33"/>
      <c r="CQ220" s="33"/>
      <c r="CR220" s="33"/>
      <c r="CS220" s="33"/>
      <c r="CT220" s="33"/>
      <c r="CU220" s="33"/>
      <c r="CV220" s="33"/>
      <c r="CW220" s="33"/>
      <c r="CX220" s="33"/>
      <c r="CY220" s="33"/>
      <c r="CZ220" s="33"/>
      <c r="DA220" s="33"/>
      <c r="DB220" s="33"/>
      <c r="DC220" s="33"/>
      <c r="DD220" s="33"/>
      <c r="DE220" s="33"/>
      <c r="DF220" s="33"/>
      <c r="DG220" s="33"/>
      <c r="DH220" s="33"/>
      <c r="DI220" s="33"/>
      <c r="DJ220" s="33"/>
      <c r="DK220" s="33"/>
      <c r="DL220" s="33"/>
      <c r="DM220" s="33"/>
      <c r="DN220" s="91"/>
      <c r="DO220" s="77"/>
    </row>
    <row r="221" spans="1:119">
      <c r="A221" s="234"/>
      <c r="B221" s="53"/>
      <c r="C221" s="110"/>
      <c r="D221" s="110"/>
      <c r="E221" s="33"/>
      <c r="F221" s="33"/>
      <c r="G221" s="89"/>
      <c r="H221" s="239"/>
      <c r="I221" s="89"/>
      <c r="J221" s="33"/>
      <c r="K221" s="33"/>
      <c r="L221" s="33"/>
      <c r="M221" s="33"/>
      <c r="CO221" s="33"/>
      <c r="CP221" s="33"/>
      <c r="CQ221" s="33"/>
      <c r="CR221" s="33"/>
      <c r="CS221" s="33"/>
      <c r="CT221" s="33"/>
      <c r="CU221" s="33"/>
      <c r="CV221" s="33"/>
      <c r="CW221" s="33"/>
      <c r="CX221" s="33"/>
      <c r="CY221" s="33"/>
      <c r="CZ221" s="33"/>
      <c r="DA221" s="33"/>
      <c r="DB221" s="33"/>
      <c r="DC221" s="33"/>
      <c r="DD221" s="33"/>
      <c r="DE221" s="33"/>
      <c r="DF221" s="33"/>
      <c r="DG221" s="33"/>
      <c r="DH221" s="33"/>
      <c r="DI221" s="33"/>
      <c r="DJ221" s="33"/>
      <c r="DK221" s="33"/>
      <c r="DL221" s="33"/>
      <c r="DM221" s="33"/>
      <c r="DN221" s="91"/>
      <c r="DO221" s="77"/>
    </row>
    <row r="222" spans="1:119">
      <c r="A222" s="68"/>
      <c r="B222" s="53"/>
      <c r="C222" s="110"/>
      <c r="D222" s="110"/>
      <c r="E222" s="89"/>
      <c r="F222" s="89"/>
      <c r="G222" s="89"/>
      <c r="H222" s="89"/>
      <c r="I222" s="89"/>
      <c r="J222" s="33"/>
      <c r="K222" s="33"/>
      <c r="L222" s="33"/>
      <c r="M222" s="33"/>
      <c r="CO222" s="33"/>
      <c r="CP222" s="33"/>
      <c r="CQ222" s="33"/>
      <c r="CR222" s="33"/>
      <c r="CS222" s="33"/>
      <c r="CT222" s="33"/>
      <c r="CU222" s="33"/>
      <c r="CV222" s="33"/>
      <c r="CW222" s="33"/>
      <c r="CX222" s="33"/>
      <c r="CY222" s="33"/>
      <c r="CZ222" s="33"/>
      <c r="DA222" s="33"/>
      <c r="DB222" s="33"/>
      <c r="DC222" s="33"/>
      <c r="DD222" s="33"/>
      <c r="DE222" s="33"/>
      <c r="DF222" s="33"/>
      <c r="DG222" s="33"/>
      <c r="DH222" s="33"/>
      <c r="DI222" s="33"/>
      <c r="DJ222" s="33"/>
      <c r="DK222" s="33"/>
      <c r="DL222" s="33"/>
      <c r="DM222" s="33"/>
      <c r="DN222" s="91"/>
      <c r="DO222" s="77"/>
    </row>
    <row r="223" spans="1:119">
      <c r="A223" s="68"/>
      <c r="B223" s="53"/>
      <c r="C223" s="110"/>
      <c r="D223" s="38"/>
      <c r="E223" s="89"/>
      <c r="F223" s="89"/>
      <c r="G223" s="89"/>
      <c r="H223" s="89"/>
      <c r="I223" s="89"/>
      <c r="J223" s="33"/>
      <c r="K223" s="33"/>
      <c r="L223" s="33"/>
      <c r="M223" s="33"/>
      <c r="CO223" s="33"/>
      <c r="CP223" s="33"/>
      <c r="CQ223" s="33"/>
      <c r="CR223" s="33"/>
      <c r="CS223" s="33"/>
      <c r="CT223" s="33"/>
      <c r="CU223" s="33"/>
      <c r="CV223" s="33"/>
      <c r="CW223" s="33"/>
      <c r="CX223" s="33"/>
      <c r="CY223" s="33"/>
      <c r="CZ223" s="33"/>
      <c r="DA223" s="33"/>
      <c r="DB223" s="33"/>
      <c r="DC223" s="33"/>
      <c r="DD223" s="33"/>
      <c r="DE223" s="33"/>
      <c r="DF223" s="33"/>
      <c r="DG223" s="33"/>
      <c r="DH223" s="33"/>
      <c r="DI223" s="33"/>
      <c r="DJ223" s="33"/>
      <c r="DK223" s="33"/>
      <c r="DL223" s="33"/>
      <c r="DM223" s="33"/>
      <c r="DN223" s="91"/>
      <c r="DO223" s="77"/>
    </row>
    <row r="224" spans="1:119">
      <c r="A224" s="234"/>
      <c r="B224" s="38"/>
      <c r="C224" s="110"/>
      <c r="D224" s="110"/>
      <c r="E224" s="89"/>
      <c r="F224" s="89"/>
      <c r="G224" s="89"/>
      <c r="H224" s="239"/>
      <c r="I224" s="89"/>
      <c r="J224" s="33"/>
      <c r="K224" s="33"/>
      <c r="L224" s="33"/>
      <c r="M224" s="33"/>
      <c r="CO224" s="33"/>
      <c r="CP224" s="33"/>
      <c r="CQ224" s="33"/>
      <c r="CR224" s="33"/>
      <c r="CS224" s="33"/>
      <c r="CT224" s="33"/>
      <c r="CU224" s="33"/>
      <c r="CV224" s="33"/>
      <c r="CW224" s="33"/>
      <c r="CX224" s="33"/>
      <c r="CY224" s="33"/>
      <c r="CZ224" s="33"/>
      <c r="DA224" s="33"/>
      <c r="DB224" s="33"/>
      <c r="DC224" s="33"/>
      <c r="DD224" s="33"/>
      <c r="DE224" s="33"/>
      <c r="DF224" s="33"/>
      <c r="DG224" s="33"/>
      <c r="DH224" s="33"/>
      <c r="DI224" s="33"/>
      <c r="DJ224" s="33"/>
      <c r="DK224" s="33"/>
      <c r="DL224" s="33"/>
      <c r="DM224" s="33"/>
      <c r="DN224" s="91"/>
      <c r="DO224" s="77"/>
    </row>
    <row r="225" spans="1:119">
      <c r="A225" s="110"/>
      <c r="B225" s="240"/>
      <c r="C225" s="38"/>
      <c r="D225" s="38"/>
      <c r="E225" s="38"/>
      <c r="F225" s="89"/>
      <c r="G225" s="89"/>
      <c r="H225" s="89"/>
      <c r="I225" s="89"/>
      <c r="J225" s="33"/>
      <c r="K225" s="33"/>
      <c r="L225" s="33"/>
      <c r="M225" s="33"/>
      <c r="CO225" s="33"/>
      <c r="CP225" s="33"/>
      <c r="CQ225" s="33"/>
      <c r="CR225" s="33"/>
      <c r="CS225" s="33"/>
      <c r="CT225" s="33"/>
      <c r="CU225" s="33"/>
      <c r="CV225" s="33"/>
      <c r="CW225" s="33"/>
      <c r="CX225" s="33"/>
      <c r="CY225" s="33"/>
      <c r="CZ225" s="33"/>
      <c r="DA225" s="33"/>
      <c r="DB225" s="33"/>
      <c r="DC225" s="33"/>
      <c r="DD225" s="33"/>
      <c r="DE225" s="33"/>
      <c r="DF225" s="33"/>
      <c r="DG225" s="33"/>
      <c r="DH225" s="33"/>
      <c r="DI225" s="33"/>
      <c r="DJ225" s="33"/>
      <c r="DK225" s="33"/>
      <c r="DL225" s="33"/>
      <c r="DM225" s="33"/>
      <c r="DN225" s="91"/>
      <c r="DO225" s="77"/>
    </row>
    <row r="226" spans="1:119">
      <c r="A226" s="234"/>
      <c r="B226" s="240"/>
      <c r="C226" s="110"/>
      <c r="D226" s="110"/>
      <c r="E226" s="38"/>
      <c r="F226" s="89"/>
      <c r="G226" s="89"/>
      <c r="H226" s="89"/>
      <c r="I226" s="89"/>
      <c r="J226" s="33"/>
      <c r="K226" s="33"/>
      <c r="L226" s="33"/>
      <c r="M226" s="33"/>
      <c r="CO226" s="33"/>
      <c r="CP226" s="33"/>
      <c r="CQ226" s="33"/>
      <c r="CR226" s="33"/>
      <c r="CS226" s="33"/>
      <c r="CT226" s="33"/>
      <c r="CU226" s="33"/>
      <c r="CV226" s="33"/>
      <c r="CW226" s="33"/>
      <c r="CX226" s="33"/>
      <c r="CY226" s="33"/>
      <c r="CZ226" s="33"/>
      <c r="DA226" s="33"/>
      <c r="DB226" s="33"/>
      <c r="DC226" s="33"/>
      <c r="DD226" s="33"/>
      <c r="DE226" s="33"/>
      <c r="DF226" s="33"/>
      <c r="DG226" s="33"/>
      <c r="DH226" s="33"/>
      <c r="DI226" s="33"/>
      <c r="DJ226" s="33"/>
      <c r="DK226" s="33"/>
      <c r="DL226" s="33"/>
      <c r="DM226" s="33"/>
      <c r="DN226" s="91"/>
      <c r="DO226" s="77"/>
    </row>
    <row r="227" spans="1:119">
      <c r="A227" s="234"/>
      <c r="B227" s="240"/>
      <c r="C227" s="110"/>
      <c r="D227" s="110"/>
      <c r="E227" s="38"/>
      <c r="F227" s="89"/>
      <c r="G227" s="89"/>
      <c r="H227" s="89"/>
      <c r="I227" s="89"/>
      <c r="J227" s="33"/>
      <c r="K227" s="33"/>
      <c r="L227" s="33"/>
      <c r="M227" s="33"/>
      <c r="CO227" s="33"/>
      <c r="CP227" s="33"/>
      <c r="CQ227" s="33"/>
      <c r="CR227" s="33"/>
      <c r="CS227" s="33"/>
      <c r="CT227" s="33"/>
      <c r="CU227" s="33"/>
      <c r="CV227" s="33"/>
      <c r="CW227" s="33"/>
      <c r="CX227" s="33"/>
      <c r="CY227" s="33"/>
      <c r="CZ227" s="33"/>
      <c r="DA227" s="33"/>
      <c r="DB227" s="33"/>
      <c r="DC227" s="33"/>
      <c r="DD227" s="33"/>
      <c r="DE227" s="33"/>
      <c r="DF227" s="33"/>
      <c r="DG227" s="33"/>
      <c r="DH227" s="33"/>
      <c r="DI227" s="33"/>
      <c r="DJ227" s="33"/>
      <c r="DK227" s="33"/>
      <c r="DL227" s="33"/>
      <c r="DM227" s="33"/>
      <c r="DN227" s="91"/>
      <c r="DO227" s="77"/>
    </row>
    <row r="228" spans="1:119">
      <c r="A228" s="234"/>
      <c r="B228" s="240"/>
      <c r="C228" s="110"/>
      <c r="D228" s="110"/>
      <c r="E228" s="38"/>
      <c r="F228" s="38"/>
      <c r="G228" s="89"/>
      <c r="H228" s="89"/>
      <c r="I228" s="38"/>
      <c r="J228" s="33"/>
      <c r="K228" s="33"/>
      <c r="L228" s="33"/>
      <c r="M228" s="33"/>
      <c r="CO228" s="33"/>
      <c r="CP228" s="33"/>
      <c r="CQ228" s="33"/>
      <c r="CR228" s="33"/>
      <c r="CS228" s="33"/>
      <c r="CT228" s="33"/>
      <c r="CU228" s="33"/>
      <c r="CV228" s="33"/>
      <c r="CW228" s="33"/>
      <c r="CX228" s="33"/>
      <c r="CY228" s="33"/>
      <c r="CZ228" s="33"/>
      <c r="DA228" s="33"/>
      <c r="DB228" s="33"/>
      <c r="DC228" s="33"/>
      <c r="DD228" s="33"/>
      <c r="DE228" s="33"/>
      <c r="DF228" s="33"/>
      <c r="DG228" s="33"/>
      <c r="DH228" s="33"/>
      <c r="DI228" s="33"/>
      <c r="DJ228" s="33"/>
      <c r="DK228" s="33"/>
      <c r="DL228" s="33"/>
      <c r="DM228" s="33"/>
      <c r="DN228" s="91"/>
      <c r="DO228" s="77"/>
    </row>
    <row r="229" spans="1:119">
      <c r="A229" s="234"/>
      <c r="B229" s="240"/>
      <c r="C229" s="110"/>
      <c r="D229" s="110"/>
      <c r="E229" s="38"/>
      <c r="F229" s="38"/>
      <c r="G229" s="89"/>
      <c r="H229" s="38"/>
      <c r="I229" s="38"/>
      <c r="J229" s="33"/>
      <c r="K229" s="33"/>
      <c r="L229" s="33"/>
      <c r="M229" s="33"/>
      <c r="CO229" s="33"/>
      <c r="CP229" s="33"/>
      <c r="CQ229" s="33"/>
      <c r="CR229" s="33"/>
      <c r="CS229" s="33"/>
      <c r="CT229" s="33"/>
      <c r="CU229" s="33"/>
      <c r="CV229" s="33"/>
      <c r="CW229" s="33"/>
      <c r="CX229" s="33"/>
      <c r="CY229" s="33"/>
      <c r="CZ229" s="33"/>
      <c r="DA229" s="33"/>
      <c r="DB229" s="33"/>
      <c r="DC229" s="33"/>
      <c r="DD229" s="33"/>
      <c r="DE229" s="33"/>
      <c r="DF229" s="33"/>
      <c r="DG229" s="33"/>
      <c r="DH229" s="33"/>
      <c r="DI229" s="33"/>
      <c r="DJ229" s="33"/>
      <c r="DK229" s="33"/>
      <c r="DL229" s="33"/>
      <c r="DM229" s="33"/>
      <c r="DN229" s="91"/>
      <c r="DO229" s="77"/>
    </row>
    <row r="230" spans="1:119">
      <c r="A230" s="241"/>
      <c r="B230" s="240"/>
      <c r="C230" s="38"/>
      <c r="D230" s="232"/>
      <c r="E230" s="38"/>
      <c r="F230" s="38"/>
      <c r="G230" s="89"/>
      <c r="H230" s="38"/>
      <c r="I230" s="89"/>
      <c r="J230" s="33"/>
      <c r="K230" s="33"/>
      <c r="L230" s="33"/>
      <c r="M230" s="33"/>
      <c r="CO230" s="33"/>
      <c r="CP230" s="33"/>
      <c r="CQ230" s="33"/>
      <c r="CR230" s="33"/>
      <c r="CS230" s="33"/>
      <c r="CT230" s="33"/>
      <c r="CU230" s="33"/>
      <c r="CV230" s="33"/>
      <c r="CW230" s="33"/>
      <c r="CX230" s="33"/>
      <c r="CY230" s="33"/>
      <c r="CZ230" s="33"/>
      <c r="DA230" s="33"/>
      <c r="DB230" s="33"/>
      <c r="DC230" s="33"/>
      <c r="DD230" s="33"/>
      <c r="DE230" s="33"/>
      <c r="DF230" s="33"/>
      <c r="DG230" s="33"/>
      <c r="DH230" s="33"/>
      <c r="DI230" s="33"/>
      <c r="DJ230" s="33"/>
      <c r="DK230" s="33"/>
      <c r="DL230" s="33"/>
      <c r="DM230" s="33"/>
      <c r="DN230" s="91"/>
      <c r="DO230" s="77"/>
    </row>
    <row r="231" spans="1:119">
      <c r="A231" s="234"/>
      <c r="B231" s="240"/>
      <c r="C231" s="110"/>
      <c r="D231" s="110"/>
      <c r="E231" s="38"/>
      <c r="F231" s="38"/>
      <c r="G231" s="89"/>
      <c r="H231" s="89"/>
      <c r="I231" s="89"/>
      <c r="J231" s="33"/>
      <c r="K231" s="33"/>
      <c r="L231" s="33"/>
      <c r="M231" s="33"/>
      <c r="CO231" s="33"/>
      <c r="CP231" s="33"/>
      <c r="CQ231" s="33"/>
      <c r="CR231" s="33"/>
      <c r="CS231" s="33"/>
      <c r="CT231" s="33"/>
      <c r="CU231" s="33"/>
      <c r="CV231" s="33"/>
      <c r="CW231" s="33"/>
      <c r="CX231" s="33"/>
      <c r="CY231" s="33"/>
      <c r="CZ231" s="33"/>
      <c r="DA231" s="33"/>
      <c r="DB231" s="33"/>
      <c r="DC231" s="33"/>
      <c r="DD231" s="33"/>
      <c r="DE231" s="33"/>
      <c r="DF231" s="33"/>
      <c r="DG231" s="33"/>
      <c r="DH231" s="33"/>
      <c r="DI231" s="33"/>
      <c r="DJ231" s="33"/>
      <c r="DK231" s="33"/>
      <c r="DL231" s="33"/>
      <c r="DM231" s="33"/>
      <c r="DN231" s="91"/>
      <c r="DO231" s="77"/>
    </row>
    <row r="232" spans="1:119">
      <c r="A232" s="241"/>
      <c r="B232" s="44"/>
      <c r="C232" s="38"/>
      <c r="D232" s="232"/>
      <c r="E232" s="38"/>
      <c r="F232" s="38"/>
      <c r="G232" s="89"/>
      <c r="H232" s="38"/>
      <c r="I232" s="38"/>
      <c r="J232" s="33"/>
      <c r="K232" s="33"/>
      <c r="L232" s="33"/>
      <c r="M232" s="33"/>
      <c r="CO232" s="33"/>
      <c r="CP232" s="33"/>
      <c r="CQ232" s="33"/>
      <c r="CR232" s="33"/>
      <c r="CS232" s="33"/>
      <c r="CT232" s="33"/>
      <c r="CU232" s="33"/>
      <c r="CV232" s="33"/>
      <c r="CW232" s="33"/>
      <c r="CX232" s="33"/>
      <c r="CY232" s="33"/>
      <c r="CZ232" s="33"/>
      <c r="DA232" s="33"/>
      <c r="DB232" s="33"/>
      <c r="DC232" s="33"/>
      <c r="DD232" s="33"/>
      <c r="DE232" s="33"/>
      <c r="DF232" s="33"/>
      <c r="DG232" s="33"/>
      <c r="DH232" s="33"/>
      <c r="DI232" s="33"/>
      <c r="DJ232" s="33"/>
      <c r="DK232" s="33"/>
      <c r="DL232" s="33"/>
      <c r="DM232" s="33"/>
      <c r="DN232" s="91"/>
      <c r="DO232" s="77"/>
    </row>
    <row r="233" spans="1:119">
      <c r="A233" s="241"/>
      <c r="B233" s="240"/>
      <c r="C233" s="38"/>
      <c r="D233" s="232"/>
      <c r="E233" s="38"/>
      <c r="F233" s="38"/>
      <c r="G233" s="38"/>
      <c r="H233" s="38"/>
      <c r="I233" s="38"/>
      <c r="J233" s="33"/>
      <c r="K233" s="33"/>
      <c r="L233" s="33"/>
      <c r="M233" s="33"/>
      <c r="CO233" s="33"/>
      <c r="CP233" s="33"/>
      <c r="CQ233" s="33"/>
      <c r="CR233" s="33"/>
      <c r="CS233" s="33"/>
      <c r="CT233" s="33"/>
      <c r="CU233" s="33"/>
      <c r="CV233" s="33"/>
      <c r="CW233" s="33"/>
      <c r="CX233" s="33"/>
      <c r="CY233" s="33"/>
      <c r="CZ233" s="33"/>
      <c r="DA233" s="33"/>
      <c r="DB233" s="33"/>
      <c r="DC233" s="33"/>
      <c r="DD233" s="33"/>
      <c r="DE233" s="33"/>
      <c r="DF233" s="33"/>
      <c r="DG233" s="33"/>
      <c r="DH233" s="33"/>
      <c r="DI233" s="33"/>
      <c r="DJ233" s="33"/>
      <c r="DK233" s="33"/>
      <c r="DL233" s="33"/>
      <c r="DM233" s="33"/>
      <c r="DN233" s="91"/>
      <c r="DO233" s="77"/>
    </row>
    <row r="234" spans="1:119">
      <c r="A234" s="241"/>
      <c r="B234" s="44"/>
      <c r="C234" s="38"/>
      <c r="D234" s="110"/>
      <c r="E234" s="38"/>
      <c r="F234" s="38"/>
      <c r="G234" s="38"/>
      <c r="H234" s="38"/>
      <c r="I234" s="38"/>
      <c r="J234" s="33"/>
      <c r="K234" s="33"/>
      <c r="L234" s="33"/>
      <c r="M234" s="33"/>
      <c r="CO234" s="33"/>
      <c r="CP234" s="33"/>
      <c r="CQ234" s="33"/>
      <c r="CR234" s="33"/>
      <c r="CS234" s="33"/>
      <c r="CT234" s="33"/>
      <c r="CU234" s="33"/>
      <c r="CV234" s="33"/>
      <c r="CW234" s="33"/>
      <c r="CX234" s="33"/>
      <c r="CY234" s="33"/>
      <c r="CZ234" s="33"/>
      <c r="DA234" s="33"/>
      <c r="DB234" s="33"/>
      <c r="DC234" s="33"/>
      <c r="DD234" s="33"/>
      <c r="DE234" s="33"/>
      <c r="DF234" s="33"/>
      <c r="DG234" s="33"/>
      <c r="DH234" s="33"/>
      <c r="DI234" s="33"/>
      <c r="DJ234" s="33"/>
      <c r="DK234" s="33"/>
      <c r="DL234" s="33"/>
      <c r="DM234" s="33"/>
      <c r="DN234" s="91"/>
      <c r="DO234" s="77"/>
    </row>
    <row r="235" spans="1:119">
      <c r="A235" s="234"/>
      <c r="B235" s="44"/>
      <c r="C235" s="110"/>
      <c r="D235" s="110"/>
      <c r="E235" s="38"/>
      <c r="F235" s="38"/>
      <c r="G235" s="38"/>
      <c r="H235" s="239"/>
      <c r="I235" s="38"/>
      <c r="J235" s="33"/>
      <c r="K235" s="33"/>
      <c r="L235" s="33"/>
      <c r="M235" s="33"/>
      <c r="CO235" s="33"/>
      <c r="CP235" s="33"/>
      <c r="CQ235" s="33"/>
      <c r="CR235" s="33"/>
      <c r="CS235" s="33"/>
      <c r="CT235" s="33"/>
      <c r="CU235" s="33"/>
      <c r="CV235" s="33"/>
      <c r="CW235" s="33"/>
      <c r="CX235" s="33"/>
      <c r="CY235" s="33"/>
      <c r="CZ235" s="33"/>
      <c r="DA235" s="33"/>
      <c r="DB235" s="33"/>
      <c r="DC235" s="33"/>
      <c r="DD235" s="33"/>
      <c r="DE235" s="33"/>
      <c r="DF235" s="33"/>
      <c r="DG235" s="33"/>
      <c r="DH235" s="33"/>
      <c r="DI235" s="33"/>
      <c r="DJ235" s="33"/>
      <c r="DK235" s="33"/>
      <c r="DL235" s="33"/>
      <c r="DM235" s="33"/>
      <c r="DN235" s="91"/>
      <c r="DO235" s="77"/>
    </row>
    <row r="236" spans="1:119">
      <c r="A236" s="234"/>
      <c r="B236" s="240"/>
      <c r="C236" s="110"/>
      <c r="D236" s="38"/>
      <c r="E236" s="38"/>
      <c r="F236" s="38"/>
      <c r="G236" s="38"/>
      <c r="H236" s="38"/>
      <c r="I236" s="38"/>
      <c r="CO236" s="33"/>
      <c r="CP236" s="33"/>
      <c r="CQ236" s="33"/>
      <c r="CR236" s="33"/>
      <c r="CS236" s="33"/>
      <c r="CT236" s="33"/>
      <c r="CU236" s="33"/>
      <c r="CV236" s="33"/>
      <c r="CW236" s="33"/>
      <c r="CX236" s="33"/>
      <c r="CY236" s="33"/>
      <c r="CZ236" s="33"/>
      <c r="DA236" s="33"/>
      <c r="DB236" s="33"/>
      <c r="DC236" s="33"/>
      <c r="DD236" s="33"/>
      <c r="DE236" s="33"/>
      <c r="DF236" s="33"/>
      <c r="DG236" s="33"/>
      <c r="DH236" s="33"/>
      <c r="DI236" s="33"/>
      <c r="DJ236" s="33"/>
      <c r="DK236" s="33"/>
      <c r="DL236" s="33"/>
      <c r="DM236" s="33"/>
      <c r="DN236" s="91"/>
      <c r="DO236" s="77"/>
    </row>
    <row r="237" spans="1:119">
      <c r="A237" s="241"/>
      <c r="B237" s="53"/>
      <c r="C237" s="38"/>
      <c r="D237" s="175"/>
      <c r="E237" s="38"/>
      <c r="F237" s="38"/>
      <c r="G237" s="38"/>
      <c r="H237" s="38"/>
      <c r="I237" s="38"/>
      <c r="CO237" s="33"/>
      <c r="CP237" s="33"/>
      <c r="CQ237" s="33"/>
      <c r="CR237" s="33"/>
      <c r="CS237" s="33"/>
      <c r="CT237" s="33"/>
      <c r="CU237" s="33"/>
      <c r="CV237" s="33"/>
      <c r="CW237" s="33"/>
      <c r="CX237" s="33"/>
      <c r="CY237" s="33"/>
      <c r="CZ237" s="33"/>
      <c r="DA237" s="33"/>
      <c r="DB237" s="33"/>
      <c r="DC237" s="33"/>
      <c r="DD237" s="33"/>
      <c r="DE237" s="33"/>
      <c r="DF237" s="33"/>
      <c r="DG237" s="33"/>
      <c r="DH237" s="33"/>
      <c r="DI237" s="33"/>
      <c r="DJ237" s="33"/>
      <c r="DK237" s="33"/>
      <c r="DL237" s="33"/>
      <c r="DM237" s="33"/>
      <c r="DN237" s="91"/>
      <c r="DO237" s="77"/>
    </row>
    <row r="238" spans="1:119">
      <c r="A238" s="234"/>
      <c r="B238" s="38"/>
      <c r="C238" s="110"/>
      <c r="D238" s="38"/>
      <c r="E238" s="38"/>
      <c r="F238" s="38"/>
      <c r="G238" s="38"/>
      <c r="H238" s="38"/>
      <c r="I238" s="38"/>
      <c r="CO238" s="33"/>
      <c r="CP238" s="33"/>
      <c r="CQ238" s="33"/>
      <c r="CR238" s="33"/>
      <c r="CS238" s="33"/>
      <c r="CT238" s="33"/>
      <c r="CU238" s="33"/>
      <c r="CV238" s="33"/>
      <c r="CW238" s="33"/>
      <c r="CX238" s="33"/>
      <c r="CY238" s="33"/>
      <c r="CZ238" s="33"/>
      <c r="DA238" s="33"/>
      <c r="DB238" s="33"/>
      <c r="DC238" s="33"/>
      <c r="DD238" s="33"/>
      <c r="DE238" s="33"/>
      <c r="DF238" s="33"/>
      <c r="DG238" s="33"/>
      <c r="DH238" s="33"/>
      <c r="DI238" s="33"/>
      <c r="DJ238" s="33"/>
      <c r="DK238" s="33"/>
      <c r="DL238" s="33"/>
      <c r="DM238" s="33"/>
      <c r="DN238" s="91"/>
      <c r="DO238" s="77"/>
    </row>
    <row r="239" spans="1:119">
      <c r="A239" s="38"/>
      <c r="B239" s="38"/>
      <c r="C239" s="38"/>
      <c r="D239" s="38"/>
      <c r="E239" s="38"/>
      <c r="F239" s="38"/>
      <c r="G239" s="38"/>
      <c r="H239" s="239"/>
      <c r="I239" s="38"/>
      <c r="CO239" s="33"/>
      <c r="CP239" s="33"/>
      <c r="CQ239" s="33"/>
      <c r="CR239" s="33"/>
      <c r="CS239" s="33"/>
      <c r="CT239" s="33"/>
      <c r="CU239" s="33"/>
      <c r="CV239" s="33"/>
      <c r="CW239" s="33"/>
      <c r="CX239" s="33"/>
      <c r="CY239" s="33"/>
      <c r="CZ239" s="33"/>
      <c r="DA239" s="33"/>
      <c r="DB239" s="33"/>
      <c r="DC239" s="33"/>
      <c r="DD239" s="33"/>
      <c r="DE239" s="33"/>
      <c r="DF239" s="33"/>
      <c r="DG239" s="33"/>
      <c r="DH239" s="33"/>
      <c r="DI239" s="33"/>
      <c r="DJ239" s="33"/>
      <c r="DK239" s="33"/>
      <c r="DL239" s="33"/>
      <c r="DM239" s="33"/>
      <c r="DN239" s="91"/>
      <c r="DO239" s="77"/>
    </row>
    <row r="240" spans="1:119">
      <c r="A240" s="110"/>
      <c r="B240" s="53"/>
      <c r="C240" s="38"/>
      <c r="D240" s="89"/>
      <c r="E240" s="89"/>
      <c r="F240" s="89"/>
      <c r="G240" s="89"/>
      <c r="H240" s="38"/>
      <c r="I240" s="38"/>
      <c r="CO240" s="33"/>
      <c r="CP240" s="33"/>
      <c r="CQ240" s="33"/>
      <c r="CR240" s="33"/>
      <c r="CS240" s="33"/>
      <c r="CT240" s="33"/>
      <c r="CU240" s="33"/>
      <c r="CV240" s="33"/>
      <c r="CW240" s="33"/>
      <c r="CX240" s="33"/>
      <c r="CY240" s="33"/>
      <c r="CZ240" s="33"/>
      <c r="DA240" s="33"/>
      <c r="DB240" s="33"/>
      <c r="DC240" s="33"/>
      <c r="DD240" s="33"/>
      <c r="DE240" s="33"/>
      <c r="DF240" s="33"/>
      <c r="DG240" s="33"/>
      <c r="DH240" s="33"/>
      <c r="DI240" s="33"/>
      <c r="DJ240" s="33"/>
      <c r="DK240" s="33"/>
      <c r="DL240" s="33"/>
      <c r="DM240" s="33"/>
      <c r="DN240" s="91"/>
      <c r="DO240" s="77"/>
    </row>
    <row r="241" spans="1:119">
      <c r="A241" s="234"/>
      <c r="B241" s="53"/>
      <c r="C241" s="110"/>
      <c r="D241" s="110"/>
      <c r="E241" s="89"/>
      <c r="F241" s="89"/>
      <c r="G241" s="89"/>
      <c r="H241" s="38"/>
      <c r="I241" s="89"/>
      <c r="CO241" s="33"/>
      <c r="CP241" s="33"/>
      <c r="CQ241" s="33"/>
      <c r="CR241" s="33"/>
      <c r="CS241" s="33"/>
      <c r="CT241" s="33"/>
      <c r="CU241" s="33"/>
      <c r="CV241" s="33"/>
      <c r="CW241" s="33"/>
      <c r="CX241" s="33"/>
      <c r="CY241" s="33"/>
      <c r="CZ241" s="33"/>
      <c r="DA241" s="33"/>
      <c r="DB241" s="33"/>
      <c r="DC241" s="33"/>
      <c r="DD241" s="33"/>
      <c r="DE241" s="33"/>
      <c r="DF241" s="33"/>
      <c r="DG241" s="33"/>
      <c r="DH241" s="33"/>
      <c r="DI241" s="33"/>
      <c r="DJ241" s="33"/>
      <c r="DK241" s="33"/>
      <c r="DL241" s="33"/>
      <c r="DM241" s="33"/>
      <c r="DN241" s="91"/>
      <c r="DO241" s="77"/>
    </row>
    <row r="242" spans="1:119">
      <c r="A242" s="234"/>
      <c r="B242" s="53"/>
      <c r="C242" s="110"/>
      <c r="D242" s="110"/>
      <c r="E242" s="89"/>
      <c r="F242" s="89"/>
      <c r="G242" s="89"/>
      <c r="H242" s="89"/>
      <c r="I242" s="89"/>
      <c r="CO242" s="33"/>
      <c r="CP242" s="33"/>
      <c r="CQ242" s="33"/>
      <c r="CR242" s="33"/>
      <c r="CS242" s="33"/>
      <c r="CT242" s="33"/>
      <c r="CU242" s="33"/>
      <c r="CV242" s="33"/>
      <c r="CW242" s="33"/>
      <c r="CX242" s="33"/>
      <c r="CY242" s="33"/>
      <c r="CZ242" s="33"/>
      <c r="DA242" s="33"/>
      <c r="DB242" s="33"/>
      <c r="DC242" s="33"/>
      <c r="DD242" s="33"/>
      <c r="DE242" s="33"/>
      <c r="DF242" s="33"/>
      <c r="DG242" s="33"/>
      <c r="DH242" s="33"/>
      <c r="DI242" s="33"/>
      <c r="DJ242" s="33"/>
      <c r="DK242" s="33"/>
      <c r="DL242" s="33"/>
      <c r="DM242" s="33"/>
      <c r="DN242" s="91"/>
      <c r="DO242" s="77"/>
    </row>
    <row r="243" spans="1:119">
      <c r="A243" s="234"/>
      <c r="B243" s="53"/>
      <c r="C243" s="110"/>
      <c r="D243" s="110"/>
      <c r="E243" s="89"/>
      <c r="F243" s="89"/>
      <c r="G243" s="89"/>
      <c r="H243" s="89"/>
      <c r="I243" s="89"/>
      <c r="CO243" s="33"/>
      <c r="CP243" s="33"/>
      <c r="CQ243" s="33"/>
      <c r="CR243" s="33"/>
      <c r="CS243" s="33"/>
      <c r="CT243" s="33"/>
      <c r="CU243" s="33"/>
      <c r="CV243" s="33"/>
      <c r="CW243" s="33"/>
      <c r="CX243" s="33"/>
      <c r="CY243" s="33"/>
      <c r="CZ243" s="33"/>
      <c r="DA243" s="33"/>
      <c r="DB243" s="33"/>
      <c r="DC243" s="33"/>
      <c r="DD243" s="33"/>
      <c r="DE243" s="33"/>
      <c r="DF243" s="33"/>
      <c r="DG243" s="33"/>
      <c r="DH243" s="33"/>
      <c r="DI243" s="33"/>
      <c r="DJ243" s="33"/>
      <c r="DK243" s="33"/>
      <c r="DL243" s="33"/>
      <c r="DM243" s="33"/>
      <c r="DN243" s="91"/>
      <c r="DO243" s="77"/>
    </row>
    <row r="244" spans="1:119">
      <c r="A244" s="234"/>
      <c r="B244" s="38"/>
      <c r="C244" s="110"/>
      <c r="D244" s="110"/>
      <c r="E244" s="38"/>
      <c r="F244" s="38"/>
      <c r="G244" s="89"/>
      <c r="H244" s="89"/>
      <c r="I244" s="89"/>
      <c r="CO244" s="33"/>
      <c r="CP244" s="33"/>
      <c r="CQ244" s="33"/>
      <c r="CR244" s="33"/>
      <c r="CS244" s="33"/>
      <c r="CT244" s="33"/>
      <c r="CU244" s="33"/>
      <c r="CV244" s="33"/>
      <c r="CW244" s="33"/>
      <c r="CX244" s="33"/>
      <c r="CY244" s="33"/>
      <c r="CZ244" s="33"/>
      <c r="DA244" s="33"/>
      <c r="DB244" s="33"/>
      <c r="DC244" s="33"/>
      <c r="DD244" s="33"/>
      <c r="DE244" s="33"/>
      <c r="DF244" s="33"/>
      <c r="DG244" s="33"/>
      <c r="DH244" s="33"/>
      <c r="DI244" s="33"/>
      <c r="DJ244" s="33"/>
      <c r="DK244" s="33"/>
      <c r="DL244" s="33"/>
      <c r="DM244" s="33"/>
      <c r="DN244" s="91"/>
      <c r="DO244" s="77"/>
    </row>
    <row r="245" spans="1:119">
      <c r="A245" s="110"/>
      <c r="B245" s="44"/>
      <c r="C245" s="38"/>
      <c r="D245" s="38"/>
      <c r="E245" s="38"/>
      <c r="F245" s="38"/>
      <c r="G245" s="89"/>
      <c r="H245" s="239"/>
      <c r="I245" s="89"/>
      <c r="CO245" s="33"/>
      <c r="CP245" s="33"/>
      <c r="CQ245" s="33"/>
      <c r="CR245" s="33"/>
      <c r="CS245" s="33"/>
      <c r="CT245" s="33"/>
      <c r="CU245" s="33"/>
      <c r="CV245" s="33"/>
      <c r="CW245" s="33"/>
      <c r="CX245" s="33"/>
      <c r="CY245" s="33"/>
      <c r="CZ245" s="33"/>
      <c r="DA245" s="33"/>
      <c r="DB245" s="33"/>
      <c r="DC245" s="33"/>
      <c r="DD245" s="33"/>
      <c r="DE245" s="33"/>
      <c r="DF245" s="33"/>
      <c r="DG245" s="33"/>
      <c r="DH245" s="33"/>
      <c r="DI245" s="33"/>
      <c r="DJ245" s="33"/>
      <c r="DK245" s="33"/>
      <c r="DL245" s="33"/>
      <c r="DM245" s="33"/>
      <c r="DN245" s="91"/>
      <c r="DO245" s="77"/>
    </row>
    <row r="246" spans="1:119">
      <c r="A246" s="234"/>
      <c r="B246" s="53"/>
      <c r="C246" s="110"/>
      <c r="D246" s="110"/>
      <c r="E246" s="38"/>
      <c r="F246" s="38"/>
      <c r="G246" s="38"/>
      <c r="H246" s="38"/>
      <c r="I246" s="89"/>
      <c r="CO246" s="33"/>
      <c r="CP246" s="33"/>
      <c r="CQ246" s="33"/>
      <c r="CR246" s="33"/>
      <c r="CS246" s="33"/>
      <c r="CT246" s="33"/>
      <c r="CU246" s="33"/>
      <c r="CV246" s="33"/>
      <c r="CW246" s="33"/>
      <c r="CX246" s="33"/>
      <c r="CY246" s="33"/>
      <c r="CZ246" s="33"/>
      <c r="DA246" s="33"/>
      <c r="DB246" s="33"/>
      <c r="DC246" s="33"/>
      <c r="DD246" s="33"/>
      <c r="DE246" s="33"/>
      <c r="DF246" s="33"/>
      <c r="DG246" s="33"/>
      <c r="DH246" s="33"/>
      <c r="DI246" s="33"/>
      <c r="DJ246" s="33"/>
      <c r="DK246" s="33"/>
      <c r="DL246" s="33"/>
      <c r="DM246" s="33"/>
      <c r="DN246" s="91"/>
      <c r="DO246" s="77"/>
    </row>
    <row r="247" spans="1:119">
      <c r="A247" s="234"/>
      <c r="B247" s="53"/>
      <c r="C247" s="110"/>
      <c r="D247" s="110"/>
      <c r="E247" s="38"/>
      <c r="F247" s="38"/>
      <c r="G247" s="38"/>
      <c r="H247" s="89"/>
      <c r="I247" s="89"/>
      <c r="CO247" s="33"/>
      <c r="CP247" s="33"/>
      <c r="CQ247" s="33"/>
      <c r="CR247" s="33"/>
      <c r="CS247" s="33"/>
      <c r="CT247" s="33"/>
      <c r="CU247" s="33"/>
      <c r="CV247" s="33"/>
      <c r="CW247" s="33"/>
      <c r="CX247" s="33"/>
      <c r="CY247" s="33"/>
      <c r="CZ247" s="33"/>
      <c r="DA247" s="33"/>
      <c r="DB247" s="33"/>
      <c r="DC247" s="33"/>
      <c r="DD247" s="33"/>
      <c r="DE247" s="33"/>
      <c r="DF247" s="33"/>
      <c r="DG247" s="33"/>
      <c r="DH247" s="33"/>
      <c r="DI247" s="33"/>
      <c r="DJ247" s="33"/>
      <c r="DK247" s="33"/>
      <c r="DL247" s="33"/>
      <c r="DM247" s="33"/>
      <c r="DN247" s="91"/>
      <c r="DO247" s="77"/>
    </row>
    <row r="248" spans="1:119">
      <c r="A248" s="234"/>
      <c r="B248" s="33"/>
      <c r="C248" s="110"/>
      <c r="D248" s="110"/>
      <c r="E248" s="38"/>
      <c r="F248" s="38"/>
      <c r="G248" s="89"/>
      <c r="H248" s="239"/>
      <c r="I248" s="89"/>
      <c r="CO248" s="33"/>
      <c r="CP248" s="33"/>
      <c r="CQ248" s="33"/>
      <c r="CR248" s="33"/>
      <c r="CS248" s="33"/>
      <c r="CT248" s="33"/>
      <c r="CU248" s="33"/>
      <c r="CV248" s="33"/>
      <c r="CW248" s="33"/>
      <c r="CX248" s="33"/>
      <c r="CY248" s="33"/>
      <c r="CZ248" s="33"/>
      <c r="DA248" s="33"/>
      <c r="DB248" s="33"/>
      <c r="DC248" s="33"/>
      <c r="DD248" s="33"/>
      <c r="DE248" s="33"/>
      <c r="DF248" s="33"/>
      <c r="DG248" s="33"/>
      <c r="DH248" s="33"/>
      <c r="DI248" s="33"/>
      <c r="DJ248" s="33"/>
      <c r="DK248" s="33"/>
      <c r="DL248" s="33"/>
      <c r="DM248" s="33"/>
      <c r="DN248" s="91"/>
      <c r="DO248" s="77"/>
    </row>
    <row r="249" spans="1:119">
      <c r="A249" s="38"/>
      <c r="B249" s="53"/>
      <c r="C249" s="38"/>
      <c r="D249" s="110"/>
      <c r="E249" s="38"/>
      <c r="F249" s="38"/>
      <c r="G249" s="38"/>
      <c r="H249" s="89"/>
      <c r="I249" s="89"/>
      <c r="CO249" s="33"/>
      <c r="CP249" s="33"/>
      <c r="CQ249" s="33"/>
      <c r="CR249" s="33"/>
      <c r="CS249" s="33"/>
      <c r="CT249" s="33"/>
      <c r="CU249" s="33"/>
      <c r="CV249" s="33"/>
      <c r="CW249" s="33"/>
      <c r="CX249" s="33"/>
      <c r="CY249" s="33"/>
      <c r="CZ249" s="33"/>
      <c r="DA249" s="33"/>
      <c r="DB249" s="33"/>
      <c r="DC249" s="33"/>
      <c r="DD249" s="33"/>
      <c r="DE249" s="33"/>
      <c r="DF249" s="33"/>
      <c r="DG249" s="33"/>
      <c r="DH249" s="33"/>
      <c r="DI249" s="33"/>
      <c r="DJ249" s="33"/>
      <c r="DK249" s="33"/>
      <c r="DL249" s="33"/>
      <c r="DM249" s="33"/>
      <c r="DN249" s="91"/>
      <c r="DO249" s="77"/>
    </row>
    <row r="250" spans="1:119">
      <c r="A250" s="243"/>
      <c r="B250" s="44"/>
      <c r="C250" s="110"/>
      <c r="D250" s="110"/>
      <c r="E250" s="38"/>
      <c r="F250" s="38"/>
      <c r="G250" s="38"/>
      <c r="H250" s="89"/>
      <c r="I250" s="89"/>
      <c r="CO250" s="33"/>
      <c r="CP250" s="33"/>
      <c r="CQ250" s="33"/>
      <c r="CR250" s="33"/>
      <c r="CS250" s="33"/>
      <c r="CT250" s="33"/>
      <c r="CU250" s="33"/>
      <c r="CV250" s="33"/>
      <c r="CW250" s="33"/>
      <c r="CX250" s="33"/>
      <c r="CY250" s="33"/>
      <c r="CZ250" s="33"/>
      <c r="DA250" s="33"/>
      <c r="DB250" s="33"/>
      <c r="DC250" s="33"/>
      <c r="DD250" s="33"/>
      <c r="DE250" s="33"/>
      <c r="DF250" s="33"/>
      <c r="DG250" s="33"/>
      <c r="DH250" s="33"/>
      <c r="DI250" s="33"/>
      <c r="DJ250" s="33"/>
      <c r="DK250" s="33"/>
      <c r="DL250" s="33"/>
      <c r="DM250" s="33"/>
      <c r="DN250" s="91"/>
      <c r="DO250" s="77"/>
    </row>
    <row r="251" spans="1:119">
      <c r="A251" s="234"/>
      <c r="B251" s="53"/>
      <c r="C251" s="110"/>
      <c r="D251" s="110"/>
      <c r="E251" s="38"/>
      <c r="F251" s="38"/>
      <c r="G251" s="38"/>
      <c r="H251" s="89"/>
      <c r="I251" s="89"/>
      <c r="CO251" s="33"/>
      <c r="CP251" s="33"/>
      <c r="CQ251" s="33"/>
      <c r="CR251" s="33"/>
      <c r="CS251" s="33"/>
      <c r="CT251" s="33"/>
      <c r="CU251" s="33"/>
      <c r="CV251" s="33"/>
      <c r="CW251" s="33"/>
      <c r="CX251" s="33"/>
      <c r="CY251" s="33"/>
      <c r="CZ251" s="33"/>
      <c r="DA251" s="33"/>
      <c r="DB251" s="33"/>
      <c r="DC251" s="33"/>
      <c r="DD251" s="33"/>
      <c r="DE251" s="33"/>
      <c r="DF251" s="33"/>
      <c r="DG251" s="33"/>
      <c r="DH251" s="33"/>
      <c r="DI251" s="33"/>
      <c r="DJ251" s="33"/>
      <c r="DK251" s="33"/>
      <c r="DL251" s="33"/>
      <c r="DM251" s="33"/>
      <c r="DN251" s="91"/>
      <c r="DO251" s="77"/>
    </row>
    <row r="252" spans="1:119">
      <c r="A252" s="234"/>
      <c r="B252" s="240"/>
      <c r="C252" s="110"/>
      <c r="D252" s="110"/>
      <c r="E252" s="38"/>
      <c r="F252" s="38"/>
      <c r="G252" s="38"/>
      <c r="H252" s="89"/>
      <c r="I252" s="89"/>
      <c r="CO252" s="33"/>
      <c r="CP252" s="33"/>
      <c r="CQ252" s="33"/>
      <c r="CR252" s="33"/>
      <c r="CS252" s="33"/>
      <c r="CT252" s="33"/>
      <c r="CU252" s="33"/>
      <c r="CV252" s="33"/>
      <c r="CW252" s="33"/>
      <c r="CX252" s="33"/>
      <c r="CY252" s="33"/>
      <c r="CZ252" s="33"/>
      <c r="DA252" s="33"/>
      <c r="DB252" s="33"/>
      <c r="DC252" s="33"/>
      <c r="DD252" s="33"/>
      <c r="DE252" s="33"/>
      <c r="DF252" s="33"/>
      <c r="DG252" s="33"/>
      <c r="DH252" s="33"/>
      <c r="DI252" s="33"/>
      <c r="DJ252" s="33"/>
      <c r="DK252" s="33"/>
      <c r="DL252" s="33"/>
      <c r="DM252" s="33"/>
      <c r="DN252" s="91"/>
      <c r="DO252" s="77"/>
    </row>
    <row r="253" spans="1:119">
      <c r="A253" s="234"/>
      <c r="B253" s="53"/>
      <c r="C253" s="110"/>
      <c r="D253" s="110"/>
      <c r="E253" s="38"/>
      <c r="F253" s="38"/>
      <c r="G253" s="38"/>
      <c r="H253" s="89"/>
      <c r="I253" s="89"/>
      <c r="CO253" s="33"/>
      <c r="CP253" s="33"/>
      <c r="CQ253" s="33"/>
      <c r="CR253" s="33"/>
      <c r="CS253" s="33"/>
      <c r="CT253" s="33"/>
      <c r="CU253" s="33"/>
      <c r="CV253" s="33"/>
      <c r="CW253" s="33"/>
      <c r="CX253" s="33"/>
      <c r="CY253" s="33"/>
      <c r="CZ253" s="33"/>
      <c r="DA253" s="33"/>
      <c r="DB253" s="33"/>
      <c r="DC253" s="33"/>
      <c r="DD253" s="33"/>
      <c r="DE253" s="33"/>
      <c r="DF253" s="33"/>
      <c r="DG253" s="33"/>
      <c r="DH253" s="33"/>
      <c r="DI253" s="33"/>
      <c r="DJ253" s="33"/>
      <c r="DK253" s="33"/>
      <c r="DL253" s="33"/>
      <c r="DM253" s="33"/>
      <c r="DN253" s="91"/>
      <c r="DO253" s="77"/>
    </row>
    <row r="254" spans="1:119">
      <c r="A254" s="234"/>
      <c r="B254" s="53"/>
      <c r="C254" s="110"/>
      <c r="D254" s="110"/>
      <c r="E254" s="38"/>
      <c r="F254" s="38"/>
      <c r="G254" s="38"/>
      <c r="H254" s="89"/>
      <c r="I254" s="89"/>
      <c r="CO254" s="33"/>
      <c r="CP254" s="33"/>
      <c r="CQ254" s="33"/>
      <c r="CR254" s="33"/>
      <c r="CS254" s="33"/>
      <c r="CT254" s="33"/>
      <c r="CU254" s="33"/>
      <c r="CV254" s="33"/>
      <c r="CW254" s="33"/>
      <c r="CX254" s="33"/>
      <c r="CY254" s="33"/>
      <c r="CZ254" s="33"/>
      <c r="DA254" s="33"/>
      <c r="DB254" s="33"/>
      <c r="DC254" s="33"/>
      <c r="DD254" s="33"/>
      <c r="DE254" s="33"/>
      <c r="DF254" s="33"/>
      <c r="DG254" s="33"/>
      <c r="DH254" s="33"/>
      <c r="DI254" s="33"/>
      <c r="DJ254" s="33"/>
      <c r="DK254" s="33"/>
      <c r="DL254" s="33"/>
      <c r="DM254" s="33"/>
      <c r="DN254" s="91"/>
      <c r="DO254" s="77"/>
    </row>
    <row r="255" spans="1:119">
      <c r="A255" s="234"/>
      <c r="B255" s="38"/>
      <c r="C255" s="110"/>
      <c r="D255" s="110"/>
      <c r="E255" s="38"/>
      <c r="F255" s="38"/>
      <c r="G255" s="89"/>
      <c r="H255" s="239"/>
      <c r="I255" s="38"/>
      <c r="CO255" s="33"/>
      <c r="CP255" s="33"/>
      <c r="CQ255" s="33"/>
      <c r="CR255" s="33"/>
      <c r="CS255" s="33"/>
      <c r="CT255" s="33"/>
      <c r="CU255" s="33"/>
      <c r="CV255" s="33"/>
      <c r="CW255" s="33"/>
      <c r="CX255" s="33"/>
      <c r="CY255" s="33"/>
      <c r="CZ255" s="33"/>
      <c r="DA255" s="33"/>
      <c r="DB255" s="33"/>
      <c r="DC255" s="33"/>
      <c r="DD255" s="33"/>
      <c r="DE255" s="33"/>
      <c r="DF255" s="33"/>
      <c r="DG255" s="33"/>
      <c r="DH255" s="33"/>
      <c r="DI255" s="33"/>
      <c r="DJ255" s="33"/>
      <c r="DK255" s="33"/>
      <c r="DL255" s="33"/>
      <c r="DM255" s="33"/>
      <c r="DN255" s="91"/>
      <c r="DO255" s="77"/>
    </row>
    <row r="256" spans="1:119">
      <c r="A256" s="38"/>
      <c r="B256" s="53"/>
      <c r="C256" s="38"/>
      <c r="D256" s="110"/>
      <c r="E256" s="38"/>
      <c r="F256" s="38"/>
      <c r="G256" s="38"/>
      <c r="H256" s="38"/>
      <c r="I256" s="38"/>
      <c r="CO256" s="33"/>
      <c r="CP256" s="33"/>
      <c r="CQ256" s="33"/>
      <c r="CR256" s="33"/>
      <c r="CS256" s="33"/>
      <c r="CT256" s="33"/>
      <c r="CU256" s="33"/>
      <c r="CV256" s="33"/>
      <c r="CW256" s="33"/>
      <c r="CX256" s="33"/>
      <c r="CY256" s="33"/>
      <c r="CZ256" s="33"/>
      <c r="DA256" s="33"/>
      <c r="DB256" s="33"/>
      <c r="DC256" s="33"/>
      <c r="DD256" s="33"/>
      <c r="DE256" s="33"/>
      <c r="DF256" s="33"/>
      <c r="DG256" s="33"/>
      <c r="DH256" s="33"/>
      <c r="DI256" s="33"/>
      <c r="DJ256" s="33"/>
      <c r="DK256" s="33"/>
      <c r="DL256" s="33"/>
      <c r="DM256" s="33"/>
      <c r="DN256" s="91"/>
      <c r="DO256" s="77"/>
    </row>
    <row r="257" spans="1:119">
      <c r="A257" s="234"/>
      <c r="B257" s="44"/>
      <c r="C257" s="110"/>
      <c r="D257" s="110"/>
      <c r="E257" s="38"/>
      <c r="F257" s="38"/>
      <c r="G257" s="38"/>
      <c r="H257" s="38"/>
      <c r="I257" s="89"/>
      <c r="CO257" s="33"/>
      <c r="CP257" s="33"/>
      <c r="CQ257" s="33"/>
      <c r="CR257" s="33"/>
      <c r="CS257" s="33"/>
      <c r="CT257" s="33"/>
      <c r="CU257" s="33"/>
      <c r="CV257" s="33"/>
      <c r="CW257" s="33"/>
      <c r="CX257" s="33"/>
      <c r="CY257" s="33"/>
      <c r="CZ257" s="33"/>
      <c r="DA257" s="33"/>
      <c r="DB257" s="33"/>
      <c r="DC257" s="33"/>
      <c r="DD257" s="33"/>
      <c r="DE257" s="33"/>
      <c r="DF257" s="33"/>
      <c r="DG257" s="33"/>
      <c r="DH257" s="33"/>
      <c r="DI257" s="33"/>
      <c r="DJ257" s="33"/>
      <c r="DK257" s="33"/>
      <c r="DL257" s="33"/>
      <c r="DM257" s="33"/>
      <c r="DN257" s="91"/>
      <c r="DO257" s="77"/>
    </row>
    <row r="258" spans="1:119">
      <c r="A258" s="234"/>
      <c r="B258" s="44"/>
      <c r="C258" s="110"/>
      <c r="D258" s="110"/>
      <c r="E258" s="38"/>
      <c r="F258" s="38"/>
      <c r="G258" s="38"/>
      <c r="H258" s="38"/>
      <c r="I258" s="38"/>
      <c r="CO258" s="33"/>
      <c r="CP258" s="33"/>
      <c r="CQ258" s="33"/>
      <c r="CR258" s="33"/>
      <c r="CS258" s="33"/>
      <c r="CT258" s="33"/>
      <c r="CU258" s="33"/>
      <c r="CV258" s="33"/>
      <c r="CW258" s="33"/>
      <c r="CX258" s="33"/>
      <c r="CY258" s="33"/>
      <c r="CZ258" s="33"/>
      <c r="DA258" s="33"/>
      <c r="DB258" s="33"/>
      <c r="DC258" s="33"/>
      <c r="DD258" s="33"/>
      <c r="DE258" s="33"/>
      <c r="DF258" s="33"/>
      <c r="DG258" s="33"/>
      <c r="DH258" s="33"/>
      <c r="DI258" s="33"/>
      <c r="DJ258" s="33"/>
      <c r="DK258" s="33"/>
      <c r="DL258" s="33"/>
      <c r="DM258" s="33"/>
      <c r="DN258" s="91"/>
      <c r="DO258" s="77"/>
    </row>
    <row r="259" spans="1:119">
      <c r="A259" s="241"/>
      <c r="B259" s="44"/>
      <c r="C259" s="110"/>
      <c r="D259" s="232"/>
      <c r="E259" s="89"/>
      <c r="F259" s="89"/>
      <c r="G259" s="89"/>
      <c r="H259" s="235"/>
      <c r="I259" s="38"/>
      <c r="CO259" s="33"/>
      <c r="CP259" s="33"/>
      <c r="CQ259" s="33"/>
      <c r="CR259" s="33"/>
      <c r="CS259" s="33"/>
      <c r="CT259" s="33"/>
      <c r="CU259" s="33"/>
      <c r="CV259" s="33"/>
      <c r="CW259" s="33"/>
      <c r="CX259" s="33"/>
      <c r="CY259" s="33"/>
      <c r="CZ259" s="33"/>
      <c r="DA259" s="33"/>
      <c r="DB259" s="33"/>
      <c r="DC259" s="33"/>
      <c r="DD259" s="33"/>
      <c r="DE259" s="33"/>
      <c r="DF259" s="33"/>
      <c r="DG259" s="33"/>
      <c r="DH259" s="33"/>
      <c r="DI259" s="33"/>
      <c r="DJ259" s="33"/>
      <c r="DK259" s="33"/>
      <c r="DL259" s="33"/>
      <c r="DM259" s="33"/>
      <c r="DN259" s="91"/>
      <c r="DO259" s="77"/>
    </row>
    <row r="260" spans="1:119">
      <c r="A260" s="241"/>
      <c r="B260" s="89"/>
      <c r="C260" s="110"/>
      <c r="D260" s="232"/>
      <c r="E260" s="89"/>
      <c r="F260" s="89"/>
      <c r="G260" s="89"/>
      <c r="H260" s="89"/>
      <c r="I260" s="89"/>
      <c r="CO260" s="33"/>
      <c r="CP260" s="33"/>
      <c r="CQ260" s="33"/>
      <c r="CR260" s="33"/>
      <c r="CS260" s="33"/>
      <c r="CT260" s="33"/>
      <c r="CU260" s="33"/>
      <c r="CV260" s="33"/>
      <c r="CW260" s="33"/>
      <c r="CX260" s="33"/>
      <c r="CY260" s="33"/>
      <c r="CZ260" s="33"/>
      <c r="DA260" s="33"/>
      <c r="DB260" s="33"/>
      <c r="DC260" s="33"/>
      <c r="DD260" s="33"/>
      <c r="DE260" s="33"/>
      <c r="DF260" s="33"/>
      <c r="DG260" s="33"/>
      <c r="DH260" s="33"/>
      <c r="DI260" s="33"/>
      <c r="DJ260" s="33"/>
      <c r="DK260" s="33"/>
      <c r="DL260" s="33"/>
      <c r="DM260" s="33"/>
      <c r="DN260" s="91"/>
      <c r="DO260" s="77"/>
    </row>
    <row r="261" spans="1:119">
      <c r="A261" s="89"/>
      <c r="B261" s="89"/>
      <c r="C261" s="89"/>
      <c r="D261" s="89"/>
      <c r="E261" s="89"/>
      <c r="F261" s="89"/>
      <c r="G261" s="235"/>
      <c r="H261" s="89"/>
      <c r="I261" s="89"/>
      <c r="CO261" s="33"/>
      <c r="CP261" s="33"/>
      <c r="CQ261" s="33"/>
      <c r="CR261" s="33"/>
      <c r="CS261" s="33"/>
      <c r="CT261" s="33"/>
      <c r="CU261" s="33"/>
      <c r="CV261" s="33"/>
      <c r="CW261" s="33"/>
      <c r="CX261" s="33"/>
      <c r="CY261" s="33"/>
      <c r="CZ261" s="33"/>
      <c r="DA261" s="33"/>
      <c r="DB261" s="33"/>
      <c r="DC261" s="33"/>
      <c r="DD261" s="33"/>
      <c r="DE261" s="33"/>
      <c r="DF261" s="33"/>
      <c r="DG261" s="33"/>
      <c r="DH261" s="33"/>
      <c r="DI261" s="33"/>
      <c r="DJ261" s="33"/>
      <c r="DK261" s="33"/>
      <c r="DL261" s="33"/>
      <c r="DM261" s="33"/>
      <c r="DN261" s="91"/>
      <c r="DO261" s="77"/>
    </row>
    <row r="262" spans="1:119">
      <c r="A262" s="89"/>
      <c r="B262" s="89"/>
      <c r="C262" s="89"/>
      <c r="D262" s="89"/>
      <c r="E262" s="38"/>
      <c r="F262" s="235"/>
      <c r="G262" s="89"/>
      <c r="H262" s="89"/>
      <c r="I262" s="89"/>
      <c r="CO262" s="33"/>
      <c r="CP262" s="33"/>
      <c r="CQ262" s="33"/>
      <c r="CR262" s="33"/>
      <c r="CS262" s="33"/>
      <c r="CT262" s="33"/>
      <c r="CU262" s="33"/>
      <c r="CV262" s="33"/>
      <c r="CW262" s="33"/>
      <c r="CX262" s="33"/>
      <c r="CY262" s="33"/>
      <c r="CZ262" s="33"/>
      <c r="DA262" s="33"/>
      <c r="DB262" s="33"/>
      <c r="DC262" s="33"/>
      <c r="DD262" s="33"/>
      <c r="DE262" s="33"/>
      <c r="DF262" s="33"/>
      <c r="DG262" s="33"/>
      <c r="DH262" s="33"/>
      <c r="DI262" s="33"/>
      <c r="DJ262" s="33"/>
      <c r="DK262" s="33"/>
      <c r="DL262" s="33"/>
      <c r="DM262" s="33"/>
      <c r="DN262" s="91"/>
      <c r="DO262" s="77"/>
    </row>
    <row r="263" spans="1:119">
      <c r="A263" s="89"/>
      <c r="B263" s="89"/>
      <c r="C263" s="89"/>
      <c r="D263" s="89"/>
      <c r="E263" s="38"/>
      <c r="F263" s="38"/>
      <c r="G263" s="89"/>
      <c r="H263" s="89"/>
      <c r="I263" s="89"/>
      <c r="CO263" s="33"/>
      <c r="CP263" s="33"/>
      <c r="CQ263" s="33"/>
      <c r="CR263" s="33"/>
      <c r="CS263" s="33"/>
      <c r="CT263" s="33"/>
      <c r="CU263" s="33"/>
      <c r="CV263" s="33"/>
      <c r="CW263" s="33"/>
      <c r="CX263" s="33"/>
      <c r="CY263" s="33"/>
      <c r="CZ263" s="33"/>
      <c r="DA263" s="33"/>
      <c r="DB263" s="33"/>
      <c r="DC263" s="33"/>
      <c r="DD263" s="33"/>
      <c r="DE263" s="33"/>
      <c r="DF263" s="33"/>
      <c r="DG263" s="33"/>
      <c r="DH263" s="33"/>
      <c r="DI263" s="33"/>
      <c r="DJ263" s="33"/>
      <c r="DK263" s="33"/>
      <c r="DL263" s="33"/>
      <c r="DM263" s="33"/>
      <c r="DN263" s="91"/>
      <c r="DO263" s="77"/>
    </row>
    <row r="264" spans="1:119">
      <c r="A264" s="89"/>
      <c r="B264" s="89"/>
      <c r="C264" s="89"/>
      <c r="D264" s="89"/>
      <c r="E264" s="89"/>
      <c r="F264" s="89"/>
      <c r="G264" s="89"/>
      <c r="H264" s="89"/>
      <c r="I264" s="236"/>
      <c r="CO264" s="33"/>
      <c r="CP264" s="33"/>
      <c r="CQ264" s="33"/>
      <c r="CR264" s="33"/>
      <c r="CS264" s="33"/>
      <c r="CT264" s="33"/>
      <c r="CU264" s="33"/>
      <c r="CV264" s="33"/>
      <c r="CW264" s="33"/>
      <c r="CX264" s="33"/>
      <c r="CY264" s="33"/>
      <c r="CZ264" s="33"/>
      <c r="DA264" s="33"/>
      <c r="DB264" s="33"/>
      <c r="DC264" s="33"/>
      <c r="DD264" s="33"/>
      <c r="DE264" s="33"/>
      <c r="DF264" s="33"/>
      <c r="DG264" s="33"/>
      <c r="DH264" s="33"/>
      <c r="DI264" s="33"/>
      <c r="DJ264" s="33"/>
      <c r="DK264" s="33"/>
      <c r="DL264" s="33"/>
      <c r="DM264" s="33"/>
      <c r="DN264" s="91"/>
      <c r="DO264" s="77"/>
    </row>
    <row r="265" spans="1:119">
      <c r="A265" s="89"/>
      <c r="B265" s="89"/>
      <c r="C265" s="89"/>
      <c r="D265" s="89"/>
      <c r="E265" s="89"/>
      <c r="F265" s="89"/>
      <c r="G265" s="89"/>
      <c r="H265" s="56"/>
      <c r="I265" s="726"/>
      <c r="CO265" s="33"/>
      <c r="CP265" s="33"/>
      <c r="CQ265" s="33"/>
      <c r="CR265" s="33"/>
      <c r="CS265" s="33"/>
      <c r="CT265" s="33"/>
      <c r="CU265" s="33"/>
      <c r="CV265" s="33"/>
      <c r="CW265" s="33"/>
      <c r="CX265" s="33"/>
      <c r="CY265" s="33"/>
      <c r="CZ265" s="33"/>
      <c r="DA265" s="33"/>
      <c r="DB265" s="33"/>
      <c r="DC265" s="33"/>
      <c r="DD265" s="33"/>
      <c r="DE265" s="33"/>
      <c r="DF265" s="33"/>
      <c r="DG265" s="33"/>
      <c r="DH265" s="33"/>
      <c r="DI265" s="33"/>
      <c r="DJ265" s="33"/>
      <c r="DK265" s="33"/>
      <c r="DL265" s="33"/>
      <c r="DM265" s="33"/>
      <c r="DN265" s="91"/>
      <c r="DO265" s="77"/>
    </row>
    <row r="266" spans="1:119">
      <c r="A266" s="237"/>
      <c r="B266" s="33"/>
      <c r="C266" s="89"/>
      <c r="D266" s="89"/>
      <c r="E266" s="38"/>
      <c r="F266" s="38"/>
      <c r="G266" s="38"/>
      <c r="H266" s="56"/>
      <c r="I266" s="727"/>
      <c r="CO266" s="33"/>
      <c r="CP266" s="33"/>
      <c r="CQ266" s="33"/>
      <c r="CR266" s="33"/>
      <c r="CS266" s="33"/>
      <c r="CT266" s="33"/>
      <c r="CU266" s="33"/>
      <c r="CV266" s="33"/>
      <c r="CW266" s="33"/>
      <c r="CX266" s="33"/>
      <c r="CY266" s="33"/>
      <c r="CZ266" s="33"/>
      <c r="DA266" s="33"/>
      <c r="DB266" s="33"/>
      <c r="DC266" s="33"/>
      <c r="DD266" s="33"/>
      <c r="DE266" s="33"/>
      <c r="DF266" s="33"/>
      <c r="DG266" s="33"/>
      <c r="DH266" s="33"/>
      <c r="DI266" s="33"/>
      <c r="DJ266" s="33"/>
      <c r="DK266" s="33"/>
      <c r="DL266" s="33"/>
      <c r="DM266" s="33"/>
      <c r="DN266" s="91"/>
      <c r="DO266" s="77"/>
    </row>
    <row r="267" spans="1:119">
      <c r="A267" s="38"/>
      <c r="B267" s="44"/>
      <c r="C267" s="38"/>
      <c r="D267" s="110"/>
      <c r="E267" s="89"/>
      <c r="F267" s="33"/>
      <c r="G267" s="89"/>
      <c r="H267" s="56"/>
      <c r="I267" s="25"/>
      <c r="CO267" s="33"/>
      <c r="CP267" s="33"/>
      <c r="CQ267" s="33"/>
      <c r="CR267" s="33"/>
      <c r="CS267" s="33"/>
      <c r="CT267" s="33"/>
      <c r="CU267" s="33"/>
      <c r="CV267" s="33"/>
      <c r="CW267" s="33"/>
      <c r="CX267" s="33"/>
      <c r="CY267" s="33"/>
      <c r="CZ267" s="33"/>
      <c r="DA267" s="33"/>
      <c r="DB267" s="33"/>
      <c r="DC267" s="33"/>
      <c r="DD267" s="33"/>
      <c r="DE267" s="33"/>
      <c r="DF267" s="33"/>
      <c r="DG267" s="33"/>
      <c r="DH267" s="33"/>
      <c r="DI267" s="33"/>
      <c r="DJ267" s="33"/>
      <c r="DK267" s="33"/>
      <c r="DL267" s="33"/>
      <c r="DM267" s="33"/>
      <c r="DN267" s="91"/>
      <c r="DO267" s="77"/>
    </row>
    <row r="268" spans="1:119">
      <c r="A268" s="234"/>
      <c r="B268" s="53"/>
      <c r="C268" s="110"/>
      <c r="D268" s="110"/>
      <c r="E268" s="89"/>
      <c r="F268" s="33"/>
      <c r="G268" s="38"/>
      <c r="H268" s="56"/>
      <c r="I268" s="25"/>
      <c r="CO268" s="33"/>
      <c r="CP268" s="33"/>
      <c r="CQ268" s="33"/>
      <c r="CR268" s="33"/>
      <c r="CS268" s="33"/>
      <c r="CT268" s="33"/>
      <c r="CU268" s="33"/>
      <c r="CV268" s="33"/>
      <c r="CW268" s="33"/>
      <c r="CX268" s="33"/>
      <c r="CY268" s="33"/>
      <c r="CZ268" s="33"/>
      <c r="DA268" s="33"/>
      <c r="DB268" s="33"/>
      <c r="DC268" s="33"/>
      <c r="DD268" s="33"/>
      <c r="DE268" s="33"/>
      <c r="DF268" s="33"/>
      <c r="DG268" s="33"/>
      <c r="DH268" s="33"/>
      <c r="DI268" s="33"/>
      <c r="DJ268" s="33"/>
      <c r="DK268" s="33"/>
      <c r="DL268" s="33"/>
      <c r="DM268" s="33"/>
      <c r="DN268" s="91"/>
      <c r="DO268" s="77"/>
    </row>
    <row r="269" spans="1:119">
      <c r="A269" s="234"/>
      <c r="B269" s="53"/>
      <c r="C269" s="110"/>
      <c r="D269" s="110"/>
      <c r="E269" s="89"/>
      <c r="F269" s="33"/>
      <c r="G269" s="89"/>
      <c r="H269" s="89"/>
      <c r="I269" s="89"/>
      <c r="CO269" s="33"/>
      <c r="CP269" s="33"/>
      <c r="CQ269" s="33"/>
      <c r="CR269" s="33"/>
      <c r="CS269" s="33"/>
      <c r="CT269" s="33"/>
      <c r="CU269" s="33"/>
      <c r="CV269" s="33"/>
      <c r="CW269" s="33"/>
      <c r="CX269" s="33"/>
      <c r="CY269" s="33"/>
      <c r="CZ269" s="33"/>
      <c r="DA269" s="33"/>
      <c r="DB269" s="33"/>
      <c r="DC269" s="33"/>
      <c r="DD269" s="33"/>
      <c r="DE269" s="33"/>
      <c r="DF269" s="33"/>
      <c r="DG269" s="33"/>
      <c r="DH269" s="33"/>
      <c r="DI269" s="33"/>
      <c r="DJ269" s="33"/>
      <c r="DK269" s="33"/>
      <c r="DL269" s="33"/>
      <c r="DM269" s="33"/>
      <c r="DN269" s="91"/>
      <c r="DO269" s="77"/>
    </row>
    <row r="270" spans="1:119">
      <c r="A270" s="234"/>
      <c r="B270" s="89"/>
      <c r="C270" s="110"/>
      <c r="D270" s="110"/>
      <c r="E270" s="89"/>
      <c r="F270" s="89"/>
      <c r="G270" s="89"/>
      <c r="H270" s="239"/>
      <c r="I270" s="38"/>
      <c r="CO270" s="33"/>
      <c r="CP270" s="33"/>
      <c r="CQ270" s="33"/>
      <c r="CR270" s="33"/>
      <c r="CS270" s="33"/>
      <c r="CT270" s="33"/>
      <c r="CU270" s="33"/>
      <c r="CV270" s="33"/>
      <c r="CW270" s="33"/>
      <c r="CX270" s="33"/>
      <c r="CY270" s="33"/>
      <c r="CZ270" s="33"/>
      <c r="DA270" s="33"/>
      <c r="DB270" s="33"/>
      <c r="DC270" s="33"/>
      <c r="DD270" s="33"/>
      <c r="DE270" s="33"/>
      <c r="DF270" s="33"/>
      <c r="DG270" s="33"/>
      <c r="DH270" s="33"/>
      <c r="DI270" s="33"/>
      <c r="DJ270" s="33"/>
      <c r="DK270" s="33"/>
      <c r="DL270" s="33"/>
      <c r="DM270" s="33"/>
      <c r="DN270" s="91"/>
      <c r="DO270" s="77"/>
    </row>
    <row r="271" spans="1:119">
      <c r="A271" s="89"/>
      <c r="B271" s="38"/>
      <c r="C271" s="89"/>
      <c r="D271" s="89"/>
      <c r="E271" s="89"/>
      <c r="F271" s="89"/>
      <c r="G271" s="89"/>
      <c r="H271" s="89"/>
      <c r="I271" s="89"/>
      <c r="CO271" s="33"/>
      <c r="CP271" s="33"/>
      <c r="CQ271" s="33"/>
      <c r="CR271" s="33"/>
      <c r="CS271" s="33"/>
      <c r="CT271" s="33"/>
      <c r="CU271" s="33"/>
      <c r="CV271" s="33"/>
      <c r="CW271" s="33"/>
      <c r="CX271" s="33"/>
      <c r="CY271" s="33"/>
      <c r="CZ271" s="33"/>
      <c r="DA271" s="33"/>
      <c r="DB271" s="33"/>
      <c r="DC271" s="33"/>
      <c r="DD271" s="33"/>
      <c r="DE271" s="33"/>
      <c r="DF271" s="33"/>
      <c r="DG271" s="33"/>
      <c r="DH271" s="33"/>
      <c r="DI271" s="33"/>
      <c r="DJ271" s="33"/>
      <c r="DK271" s="33"/>
      <c r="DL271" s="33"/>
      <c r="DM271" s="33"/>
      <c r="DN271" s="91"/>
      <c r="DO271" s="77"/>
    </row>
    <row r="272" spans="1:119">
      <c r="A272" s="38"/>
      <c r="B272" s="44"/>
      <c r="C272" s="38"/>
      <c r="D272" s="110"/>
      <c r="E272" s="89"/>
      <c r="F272" s="89"/>
      <c r="G272" s="89"/>
      <c r="H272" s="89"/>
      <c r="I272" s="89"/>
      <c r="CO272" s="33"/>
      <c r="CP272" s="33"/>
      <c r="CQ272" s="33"/>
      <c r="CR272" s="33"/>
      <c r="CS272" s="33"/>
      <c r="CT272" s="33"/>
      <c r="CU272" s="33"/>
      <c r="CV272" s="33"/>
      <c r="CW272" s="33"/>
      <c r="CX272" s="33"/>
      <c r="CY272" s="33"/>
      <c r="CZ272" s="33"/>
      <c r="DA272" s="33"/>
      <c r="DB272" s="33"/>
      <c r="DC272" s="33"/>
      <c r="DD272" s="33"/>
      <c r="DE272" s="33"/>
      <c r="DF272" s="33"/>
      <c r="DG272" s="33"/>
      <c r="DH272" s="33"/>
      <c r="DI272" s="33"/>
      <c r="DJ272" s="33"/>
      <c r="DK272" s="33"/>
      <c r="DL272" s="33"/>
      <c r="DM272" s="33"/>
      <c r="DN272" s="91"/>
      <c r="DO272" s="77"/>
    </row>
    <row r="273" spans="1:119">
      <c r="A273" s="68"/>
      <c r="B273" s="53"/>
      <c r="C273" s="110"/>
      <c r="D273" s="110"/>
      <c r="E273" s="89"/>
      <c r="F273" s="89"/>
      <c r="G273" s="89"/>
      <c r="H273" s="89"/>
      <c r="I273" s="89"/>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91"/>
      <c r="DO273" s="77"/>
    </row>
    <row r="274" spans="1:119">
      <c r="A274" s="234"/>
      <c r="B274" s="44"/>
      <c r="C274" s="110"/>
      <c r="D274" s="110"/>
      <c r="E274" s="89"/>
      <c r="F274" s="89"/>
      <c r="G274" s="89"/>
      <c r="H274" s="89"/>
      <c r="I274" s="89"/>
      <c r="CO274" s="33"/>
      <c r="CP274" s="33"/>
      <c r="CQ274" s="33"/>
      <c r="CR274" s="33"/>
      <c r="CS274" s="33"/>
      <c r="CT274" s="33"/>
      <c r="CU274" s="33"/>
      <c r="CV274" s="33"/>
      <c r="CW274" s="33"/>
      <c r="CX274" s="33"/>
      <c r="CY274" s="33"/>
      <c r="CZ274" s="33"/>
      <c r="DA274" s="33"/>
      <c r="DB274" s="33"/>
      <c r="DC274" s="33"/>
      <c r="DD274" s="33"/>
      <c r="DE274" s="33"/>
      <c r="DF274" s="33"/>
      <c r="DG274" s="33"/>
      <c r="DH274" s="33"/>
      <c r="DI274" s="33"/>
      <c r="DJ274" s="33"/>
      <c r="DK274" s="33"/>
      <c r="DL274" s="33"/>
      <c r="DM274" s="33"/>
      <c r="DN274" s="91"/>
      <c r="DO274" s="77"/>
    </row>
    <row r="275" spans="1:119">
      <c r="A275" s="234"/>
      <c r="B275" s="44"/>
      <c r="C275" s="110"/>
      <c r="D275" s="110"/>
      <c r="E275" s="89"/>
      <c r="F275" s="89"/>
      <c r="G275" s="89"/>
      <c r="H275" s="89"/>
      <c r="I275" s="38"/>
      <c r="CO275" s="33"/>
      <c r="CP275" s="33"/>
      <c r="CQ275" s="33"/>
      <c r="CR275" s="33"/>
      <c r="CS275" s="33"/>
      <c r="CT275" s="33"/>
      <c r="CU275" s="33"/>
      <c r="CV275" s="33"/>
      <c r="CW275" s="33"/>
      <c r="CX275" s="33"/>
      <c r="CY275" s="33"/>
      <c r="CZ275" s="33"/>
      <c r="DA275" s="33"/>
      <c r="DB275" s="33"/>
      <c r="DC275" s="33"/>
      <c r="DD275" s="33"/>
      <c r="DE275" s="33"/>
      <c r="DF275" s="33"/>
      <c r="DG275" s="33"/>
      <c r="DH275" s="33"/>
      <c r="DI275" s="33"/>
      <c r="DJ275" s="33"/>
      <c r="DK275" s="33"/>
      <c r="DL275" s="33"/>
      <c r="DM275" s="33"/>
      <c r="DN275" s="91"/>
      <c r="DO275" s="77"/>
    </row>
    <row r="276" spans="1:119">
      <c r="A276" s="241"/>
      <c r="B276" s="44"/>
      <c r="C276" s="110"/>
      <c r="D276" s="232"/>
      <c r="E276" s="38"/>
      <c r="F276" s="89"/>
      <c r="G276" s="89"/>
      <c r="H276" s="235"/>
      <c r="I276" s="38"/>
      <c r="CO276" s="33"/>
      <c r="CP276" s="33"/>
      <c r="CQ276" s="33"/>
      <c r="CR276" s="33"/>
      <c r="CS276" s="33"/>
      <c r="CT276" s="33"/>
      <c r="CU276" s="33"/>
      <c r="CV276" s="33"/>
      <c r="CW276" s="33"/>
      <c r="CX276" s="33"/>
      <c r="CY276" s="33"/>
      <c r="CZ276" s="33"/>
      <c r="DA276" s="33"/>
      <c r="DB276" s="33"/>
      <c r="DC276" s="33"/>
      <c r="DD276" s="33"/>
      <c r="DE276" s="33"/>
      <c r="DF276" s="33"/>
      <c r="DG276" s="33"/>
      <c r="DH276" s="33"/>
      <c r="DI276" s="33"/>
      <c r="DJ276" s="33"/>
      <c r="DK276" s="33"/>
      <c r="DL276" s="33"/>
      <c r="DM276" s="33"/>
      <c r="DN276" s="91"/>
      <c r="DO276" s="77"/>
    </row>
    <row r="277" spans="1:119">
      <c r="A277" s="241"/>
      <c r="B277" s="89"/>
      <c r="C277" s="110"/>
      <c r="D277" s="232"/>
      <c r="E277" s="89"/>
      <c r="F277" s="89"/>
      <c r="G277" s="89"/>
      <c r="H277" s="89"/>
      <c r="I277" s="89"/>
      <c r="CO277" s="33"/>
      <c r="CP277" s="33"/>
      <c r="CQ277" s="33"/>
      <c r="CR277" s="33"/>
      <c r="CS277" s="33"/>
      <c r="CT277" s="33"/>
      <c r="CU277" s="33"/>
      <c r="CV277" s="33"/>
      <c r="CW277" s="33"/>
      <c r="CX277" s="33"/>
      <c r="CY277" s="33"/>
      <c r="CZ277" s="33"/>
      <c r="DA277" s="33"/>
      <c r="DB277" s="33"/>
      <c r="DC277" s="33"/>
      <c r="DD277" s="33"/>
      <c r="DE277" s="33"/>
      <c r="DF277" s="33"/>
      <c r="DG277" s="33"/>
      <c r="DH277" s="33"/>
      <c r="DI277" s="33"/>
      <c r="DJ277" s="33"/>
      <c r="DK277" s="33"/>
      <c r="DL277" s="33"/>
      <c r="DM277" s="33"/>
      <c r="DN277" s="91"/>
      <c r="DO277" s="77"/>
    </row>
    <row r="278" spans="1:119">
      <c r="A278" s="89"/>
      <c r="B278" s="89"/>
      <c r="C278" s="89"/>
      <c r="D278" s="89"/>
      <c r="E278" s="89"/>
      <c r="F278" s="89"/>
      <c r="G278" s="235"/>
      <c r="H278" s="89"/>
      <c r="I278" s="89"/>
      <c r="CO278" s="33"/>
      <c r="CP278" s="33"/>
      <c r="CQ278" s="33"/>
      <c r="CR278" s="33"/>
      <c r="CS278" s="33"/>
      <c r="CT278" s="33"/>
      <c r="CU278" s="33"/>
      <c r="CV278" s="33"/>
      <c r="CW278" s="33"/>
      <c r="CX278" s="33"/>
      <c r="CY278" s="33"/>
      <c r="CZ278" s="33"/>
      <c r="DA278" s="33"/>
      <c r="DB278" s="33"/>
      <c r="DC278" s="33"/>
      <c r="DD278" s="33"/>
      <c r="DE278" s="33"/>
      <c r="DF278" s="33"/>
      <c r="DG278" s="33"/>
      <c r="DH278" s="33"/>
      <c r="DI278" s="33"/>
      <c r="DJ278" s="33"/>
      <c r="DK278" s="33"/>
      <c r="DL278" s="33"/>
      <c r="DM278" s="33"/>
      <c r="DN278" s="91"/>
      <c r="DO278" s="77"/>
    </row>
    <row r="279" spans="1:119">
      <c r="A279" s="38"/>
      <c r="B279" s="53"/>
      <c r="C279" s="89"/>
      <c r="D279" s="89"/>
      <c r="E279" s="89"/>
      <c r="F279" s="235"/>
      <c r="G279" s="89"/>
      <c r="H279" s="89"/>
      <c r="I279" s="89"/>
      <c r="CO279" s="33"/>
      <c r="CP279" s="33"/>
      <c r="CQ279" s="33"/>
      <c r="CR279" s="33"/>
      <c r="CS279" s="33"/>
      <c r="CT279" s="33"/>
      <c r="CU279" s="33"/>
      <c r="CV279" s="33"/>
      <c r="CW279" s="33"/>
      <c r="CX279" s="33"/>
      <c r="CY279" s="33"/>
      <c r="CZ279" s="33"/>
      <c r="DA279" s="33"/>
      <c r="DB279" s="33"/>
      <c r="DC279" s="33"/>
      <c r="DD279" s="33"/>
      <c r="DE279" s="33"/>
      <c r="DF279" s="33"/>
      <c r="DG279" s="33"/>
      <c r="DH279" s="33"/>
      <c r="DI279" s="33"/>
      <c r="DJ279" s="33"/>
      <c r="DK279" s="33"/>
      <c r="DL279" s="33"/>
      <c r="DM279" s="33"/>
      <c r="DN279" s="91"/>
      <c r="DO279" s="77"/>
    </row>
    <row r="280" spans="1:119">
      <c r="A280" s="234"/>
      <c r="B280" s="53"/>
      <c r="C280" s="110"/>
      <c r="D280" s="110"/>
      <c r="E280" s="33"/>
      <c r="F280" s="89"/>
      <c r="G280" s="89"/>
      <c r="H280" s="89"/>
      <c r="I280" s="38"/>
      <c r="CO280" s="33"/>
      <c r="CP280" s="33"/>
      <c r="CQ280" s="33"/>
      <c r="CR280" s="33"/>
      <c r="CS280" s="33"/>
      <c r="CT280" s="33"/>
      <c r="CU280" s="33"/>
      <c r="CV280" s="33"/>
      <c r="CW280" s="33"/>
      <c r="CX280" s="33"/>
      <c r="CY280" s="33"/>
      <c r="CZ280" s="33"/>
      <c r="DA280" s="33"/>
      <c r="DB280" s="33"/>
      <c r="DC280" s="33"/>
      <c r="DD280" s="33"/>
      <c r="DE280" s="33"/>
      <c r="DF280" s="33"/>
      <c r="DG280" s="33"/>
      <c r="DH280" s="33"/>
      <c r="DI280" s="33"/>
      <c r="DJ280" s="33"/>
      <c r="DK280" s="33"/>
      <c r="DL280" s="33"/>
      <c r="DM280" s="33"/>
      <c r="DN280" s="91"/>
      <c r="DO280" s="77"/>
    </row>
    <row r="281" spans="1:119">
      <c r="A281" s="234"/>
      <c r="B281" s="89"/>
      <c r="C281" s="110"/>
      <c r="D281" s="110"/>
      <c r="E281" s="33"/>
      <c r="F281" s="33"/>
      <c r="G281" s="89"/>
      <c r="H281" s="239"/>
      <c r="I281" s="89"/>
      <c r="CO281" s="33"/>
      <c r="CP281" s="33"/>
      <c r="CQ281" s="33"/>
      <c r="CR281" s="33"/>
      <c r="CS281" s="33"/>
      <c r="CT281" s="33"/>
      <c r="CU281" s="33"/>
      <c r="CV281" s="33"/>
      <c r="CW281" s="33"/>
      <c r="CX281" s="33"/>
      <c r="CY281" s="33"/>
      <c r="CZ281" s="33"/>
      <c r="DA281" s="33"/>
      <c r="DB281" s="33"/>
      <c r="DC281" s="33"/>
      <c r="DD281" s="33"/>
      <c r="DE281" s="33"/>
      <c r="DF281" s="33"/>
      <c r="DG281" s="33"/>
      <c r="DH281" s="33"/>
      <c r="DI281" s="33"/>
      <c r="DJ281" s="33"/>
      <c r="DK281" s="33"/>
      <c r="DL281" s="33"/>
      <c r="DM281" s="33"/>
      <c r="DN281" s="91"/>
      <c r="DO281" s="77"/>
    </row>
    <row r="282" spans="1:119">
      <c r="A282" s="89"/>
      <c r="B282" s="38"/>
      <c r="C282" s="89"/>
      <c r="D282" s="89"/>
      <c r="E282" s="89"/>
      <c r="F282" s="89"/>
      <c r="G282" s="89"/>
      <c r="H282" s="89"/>
      <c r="I282" s="89"/>
      <c r="CO282" s="33"/>
      <c r="CP282" s="33"/>
      <c r="CQ282" s="33"/>
      <c r="CR282" s="33"/>
      <c r="CS282" s="33"/>
      <c r="CT282" s="33"/>
      <c r="CU282" s="33"/>
      <c r="CV282" s="33"/>
      <c r="CW282" s="33"/>
      <c r="CX282" s="33"/>
      <c r="CY282" s="33"/>
      <c r="CZ282" s="33"/>
      <c r="DA282" s="33"/>
      <c r="DB282" s="33"/>
      <c r="DC282" s="33"/>
      <c r="DD282" s="33"/>
      <c r="DE282" s="33"/>
      <c r="DF282" s="33"/>
      <c r="DG282" s="33"/>
      <c r="DH282" s="33"/>
      <c r="DI282" s="33"/>
      <c r="DJ282" s="33"/>
      <c r="DK282" s="33"/>
      <c r="DL282" s="33"/>
      <c r="DM282" s="33"/>
      <c r="DN282" s="91"/>
      <c r="DO282" s="77"/>
    </row>
    <row r="283" spans="1:119">
      <c r="A283" s="38"/>
      <c r="B283" s="240"/>
      <c r="C283" s="38"/>
      <c r="D283" s="110"/>
      <c r="E283" s="33"/>
      <c r="F283" s="33"/>
      <c r="G283" s="89"/>
      <c r="H283" s="89"/>
      <c r="I283" s="89"/>
      <c r="CO283" s="33"/>
      <c r="CP283" s="33"/>
      <c r="CQ283" s="33"/>
      <c r="CR283" s="33"/>
      <c r="CS283" s="33"/>
      <c r="CT283" s="33"/>
      <c r="CU283" s="33"/>
      <c r="CV283" s="33"/>
      <c r="CW283" s="33"/>
      <c r="CX283" s="33"/>
      <c r="CY283" s="33"/>
      <c r="CZ283" s="33"/>
      <c r="DA283" s="33"/>
      <c r="DB283" s="33"/>
      <c r="DC283" s="33"/>
      <c r="DD283" s="33"/>
      <c r="DE283" s="33"/>
      <c r="DF283" s="33"/>
      <c r="DG283" s="33"/>
      <c r="DH283" s="33"/>
      <c r="DI283" s="33"/>
      <c r="DJ283" s="33"/>
      <c r="DK283" s="33"/>
      <c r="DL283" s="33"/>
      <c r="DM283" s="33"/>
      <c r="DN283" s="91"/>
    </row>
    <row r="284" spans="1:119">
      <c r="A284" s="234"/>
      <c r="B284" s="53"/>
      <c r="C284" s="110"/>
      <c r="D284" s="110"/>
      <c r="E284" s="33"/>
      <c r="F284" s="33"/>
      <c r="G284" s="89"/>
      <c r="H284" s="89"/>
      <c r="I284" s="89"/>
      <c r="CO284" s="33"/>
      <c r="CP284" s="33"/>
      <c r="CQ284" s="33"/>
      <c r="CR284" s="33"/>
      <c r="CS284" s="33"/>
      <c r="CT284" s="33"/>
      <c r="CU284" s="33"/>
      <c r="CV284" s="33"/>
      <c r="CW284" s="33"/>
      <c r="CX284" s="33"/>
      <c r="CY284" s="33"/>
      <c r="CZ284" s="33"/>
      <c r="DA284" s="33"/>
      <c r="DB284" s="33"/>
      <c r="DC284" s="33"/>
      <c r="DD284" s="33"/>
      <c r="DE284" s="33"/>
      <c r="DF284" s="33"/>
      <c r="DG284" s="33"/>
      <c r="DH284" s="33"/>
      <c r="DI284" s="33"/>
      <c r="DJ284" s="33"/>
      <c r="DK284" s="33"/>
      <c r="DL284" s="33"/>
      <c r="DM284" s="33"/>
      <c r="DN284" s="91"/>
    </row>
    <row r="285" spans="1:119">
      <c r="A285" s="234"/>
      <c r="B285" s="53"/>
      <c r="C285" s="110"/>
      <c r="D285" s="110"/>
      <c r="E285" s="33"/>
      <c r="F285" s="33"/>
      <c r="G285" s="89"/>
      <c r="H285" s="89"/>
      <c r="I285" s="89"/>
      <c r="CO285" s="33"/>
      <c r="CP285" s="33"/>
      <c r="CQ285" s="33"/>
      <c r="CR285" s="33"/>
      <c r="CS285" s="33"/>
      <c r="CT285" s="33"/>
      <c r="CU285" s="33"/>
      <c r="CV285" s="33"/>
      <c r="CW285" s="33"/>
      <c r="CX285" s="33"/>
      <c r="CY285" s="33"/>
      <c r="CZ285" s="33"/>
      <c r="DA285" s="33"/>
      <c r="DB285" s="33"/>
      <c r="DC285" s="33"/>
      <c r="DD285" s="33"/>
      <c r="DE285" s="33"/>
      <c r="DF285" s="33"/>
      <c r="DG285" s="33"/>
      <c r="DH285" s="33"/>
      <c r="DI285" s="33"/>
      <c r="DJ285" s="33"/>
      <c r="DK285" s="33"/>
      <c r="DL285" s="33"/>
      <c r="DM285" s="33"/>
      <c r="DN285" s="91"/>
    </row>
    <row r="286" spans="1:119">
      <c r="A286" s="234"/>
      <c r="B286" s="53"/>
      <c r="C286" s="110"/>
      <c r="D286" s="110"/>
      <c r="E286" s="33"/>
      <c r="F286" s="33"/>
      <c r="G286" s="89"/>
      <c r="H286" s="89"/>
      <c r="I286" s="89"/>
      <c r="CO286" s="33"/>
      <c r="CP286" s="33"/>
      <c r="CQ286" s="33"/>
      <c r="CR286" s="33"/>
      <c r="CS286" s="33"/>
      <c r="CT286" s="33"/>
      <c r="CU286" s="33"/>
      <c r="CV286" s="33"/>
      <c r="CW286" s="33"/>
      <c r="CX286" s="33"/>
      <c r="CY286" s="33"/>
      <c r="CZ286" s="33"/>
      <c r="DA286" s="33"/>
      <c r="DB286" s="33"/>
      <c r="DC286" s="33"/>
      <c r="DD286" s="33"/>
      <c r="DE286" s="33"/>
      <c r="DF286" s="33"/>
      <c r="DG286" s="33"/>
      <c r="DH286" s="33"/>
      <c r="DI286" s="33"/>
      <c r="DJ286" s="33"/>
      <c r="DK286" s="33"/>
      <c r="DL286" s="33"/>
      <c r="DM286" s="33"/>
      <c r="DN286" s="91"/>
    </row>
    <row r="287" spans="1:119">
      <c r="A287" s="234"/>
      <c r="B287" s="89"/>
      <c r="C287" s="110"/>
      <c r="D287" s="110"/>
      <c r="E287" s="33"/>
      <c r="F287" s="33"/>
      <c r="G287" s="89"/>
      <c r="H287" s="239"/>
      <c r="I287" s="89"/>
      <c r="CO287" s="33"/>
      <c r="CP287" s="33"/>
      <c r="CQ287" s="33"/>
      <c r="CR287" s="33"/>
      <c r="CS287" s="33"/>
      <c r="CT287" s="33"/>
      <c r="CU287" s="33"/>
      <c r="CV287" s="33"/>
      <c r="CW287" s="33"/>
      <c r="CX287" s="33"/>
      <c r="CY287" s="33"/>
      <c r="CZ287" s="33"/>
      <c r="DA287" s="33"/>
      <c r="DB287" s="33"/>
      <c r="DC287" s="33"/>
      <c r="DD287" s="33"/>
      <c r="DE287" s="33"/>
      <c r="DF287" s="33"/>
      <c r="DG287" s="33"/>
      <c r="DH287" s="33"/>
      <c r="DI287" s="33"/>
      <c r="DJ287" s="33"/>
      <c r="DK287" s="33"/>
      <c r="DL287" s="33"/>
      <c r="DM287" s="33"/>
      <c r="DN287" s="91"/>
    </row>
    <row r="288" spans="1:119">
      <c r="A288" s="89"/>
      <c r="B288" s="89"/>
      <c r="C288" s="89"/>
      <c r="D288" s="89"/>
      <c r="E288" s="89"/>
      <c r="F288" s="89"/>
      <c r="G288" s="89"/>
      <c r="H288" s="89"/>
      <c r="I288" s="89"/>
      <c r="CO288" s="33"/>
      <c r="CP288" s="33"/>
      <c r="CQ288" s="33"/>
      <c r="CR288" s="33"/>
      <c r="CS288" s="33"/>
      <c r="CT288" s="33"/>
      <c r="CU288" s="33"/>
      <c r="CV288" s="33"/>
      <c r="CW288" s="33"/>
      <c r="CX288" s="33"/>
      <c r="CY288" s="33"/>
      <c r="CZ288" s="33"/>
      <c r="DA288" s="33"/>
      <c r="DB288" s="33"/>
      <c r="DC288" s="33"/>
      <c r="DD288" s="33"/>
      <c r="DE288" s="33"/>
      <c r="DF288" s="33"/>
      <c r="DG288" s="33"/>
      <c r="DH288" s="33"/>
      <c r="DI288" s="33"/>
      <c r="DJ288" s="33"/>
      <c r="DK288" s="33"/>
      <c r="DL288" s="33"/>
      <c r="DM288" s="33"/>
      <c r="DN288" s="91"/>
    </row>
    <row r="289" spans="1:118">
      <c r="A289" s="89"/>
      <c r="B289" s="89"/>
      <c r="C289" s="89"/>
      <c r="D289" s="89"/>
      <c r="E289" s="89"/>
      <c r="F289" s="89"/>
      <c r="G289" s="89"/>
      <c r="H289" s="89"/>
      <c r="I289" s="89"/>
      <c r="CO289" s="33"/>
      <c r="CP289" s="33"/>
      <c r="CQ289" s="33"/>
      <c r="CR289" s="33"/>
      <c r="CS289" s="33"/>
      <c r="CT289" s="33"/>
      <c r="CU289" s="33"/>
      <c r="CV289" s="33"/>
      <c r="CW289" s="33"/>
      <c r="CX289" s="33"/>
      <c r="CY289" s="33"/>
      <c r="CZ289" s="33"/>
      <c r="DA289" s="33"/>
      <c r="DB289" s="33"/>
      <c r="DC289" s="33"/>
      <c r="DD289" s="33"/>
      <c r="DE289" s="33"/>
      <c r="DF289" s="33"/>
      <c r="DG289" s="33"/>
      <c r="DH289" s="33"/>
      <c r="DI289" s="33"/>
      <c r="DJ289" s="33"/>
      <c r="DK289" s="33"/>
      <c r="DL289" s="33"/>
      <c r="DM289" s="33"/>
      <c r="DN289" s="91"/>
    </row>
    <row r="290" spans="1:118">
      <c r="A290" s="246"/>
      <c r="B290" s="89"/>
      <c r="C290" s="89"/>
      <c r="D290" s="89"/>
      <c r="E290" s="89"/>
      <c r="F290" s="89"/>
      <c r="G290" s="89"/>
      <c r="H290" s="89"/>
      <c r="I290" s="89"/>
      <c r="CO290" s="33"/>
      <c r="CP290" s="33"/>
      <c r="CQ290" s="33"/>
      <c r="CR290" s="33"/>
      <c r="CS290" s="33"/>
      <c r="CT290" s="33"/>
      <c r="CU290" s="33"/>
      <c r="CV290" s="33"/>
      <c r="CW290" s="33"/>
      <c r="CX290" s="33"/>
      <c r="CY290" s="33"/>
      <c r="CZ290" s="33"/>
      <c r="DA290" s="33"/>
      <c r="DB290" s="33"/>
      <c r="DC290" s="33"/>
      <c r="DD290" s="33"/>
      <c r="DE290" s="33"/>
      <c r="DF290" s="33"/>
      <c r="DG290" s="33"/>
      <c r="DH290" s="33"/>
      <c r="DI290" s="33"/>
      <c r="DJ290" s="33"/>
      <c r="DK290" s="33"/>
      <c r="DL290" s="33"/>
      <c r="DM290" s="33"/>
      <c r="DN290" s="91"/>
    </row>
    <row r="291" spans="1:118">
      <c r="A291" s="89"/>
      <c r="B291" s="89"/>
      <c r="C291" s="89"/>
      <c r="D291" s="89"/>
      <c r="E291" s="89"/>
      <c r="F291" s="89"/>
      <c r="G291" s="89"/>
      <c r="H291" s="89"/>
      <c r="I291" s="89"/>
      <c r="CO291" s="33"/>
      <c r="CP291" s="33"/>
      <c r="CQ291" s="33"/>
      <c r="CR291" s="33"/>
      <c r="CS291" s="33"/>
      <c r="CT291" s="33"/>
      <c r="CU291" s="33"/>
      <c r="CV291" s="33"/>
      <c r="CW291" s="33"/>
      <c r="CX291" s="33"/>
      <c r="CY291" s="33"/>
      <c r="CZ291" s="33"/>
      <c r="DA291" s="33"/>
      <c r="DB291" s="33"/>
      <c r="DC291" s="33"/>
      <c r="DD291" s="33"/>
      <c r="DE291" s="33"/>
      <c r="DF291" s="33"/>
      <c r="DG291" s="33"/>
      <c r="DH291" s="33"/>
      <c r="DI291" s="33"/>
      <c r="DJ291" s="33"/>
      <c r="DK291" s="33"/>
      <c r="DL291" s="33"/>
      <c r="DM291" s="33"/>
      <c r="DN291" s="91"/>
    </row>
    <row r="292" spans="1:118">
      <c r="A292" s="89"/>
      <c r="B292" s="89"/>
      <c r="C292" s="89"/>
      <c r="D292" s="89"/>
      <c r="E292" s="89"/>
      <c r="F292" s="89"/>
      <c r="G292" s="89"/>
      <c r="H292" s="89"/>
      <c r="I292" s="89"/>
      <c r="CO292" s="33"/>
      <c r="CP292" s="33"/>
      <c r="CQ292" s="33"/>
      <c r="CR292" s="33"/>
      <c r="CS292" s="33"/>
      <c r="CT292" s="33"/>
      <c r="CU292" s="33"/>
      <c r="CV292" s="33"/>
      <c r="CW292" s="33"/>
      <c r="CX292" s="33"/>
      <c r="CY292" s="33"/>
      <c r="CZ292" s="33"/>
      <c r="DA292" s="33"/>
      <c r="DB292" s="33"/>
      <c r="DC292" s="33"/>
      <c r="DD292" s="33"/>
      <c r="DE292" s="33"/>
      <c r="DF292" s="33"/>
      <c r="DG292" s="33"/>
      <c r="DH292" s="33"/>
      <c r="DI292" s="33"/>
      <c r="DJ292" s="33"/>
      <c r="DK292" s="33"/>
      <c r="DL292" s="33"/>
      <c r="DM292" s="33"/>
      <c r="DN292" s="91"/>
    </row>
    <row r="293" spans="1:118">
      <c r="A293" s="89"/>
      <c r="B293" s="89"/>
      <c r="C293" s="89"/>
      <c r="D293" s="89"/>
      <c r="E293" s="89"/>
      <c r="F293" s="89"/>
      <c r="G293" s="89"/>
      <c r="H293" s="89"/>
      <c r="I293" s="89"/>
      <c r="CO293" s="33"/>
      <c r="CP293" s="33"/>
      <c r="CQ293" s="33"/>
      <c r="CR293" s="33"/>
      <c r="CS293" s="33"/>
      <c r="CT293" s="33"/>
      <c r="CU293" s="33"/>
      <c r="CV293" s="33"/>
      <c r="CW293" s="33"/>
      <c r="CX293" s="33"/>
      <c r="CY293" s="33"/>
      <c r="CZ293" s="33"/>
      <c r="DA293" s="33"/>
      <c r="DB293" s="33"/>
      <c r="DC293" s="33"/>
      <c r="DD293" s="33"/>
      <c r="DE293" s="33"/>
      <c r="DF293" s="33"/>
      <c r="DG293" s="33"/>
      <c r="DH293" s="33"/>
      <c r="DI293" s="33"/>
      <c r="DJ293" s="33"/>
      <c r="DK293" s="33"/>
      <c r="DL293" s="33"/>
      <c r="DM293" s="33"/>
      <c r="DN293" s="91"/>
    </row>
    <row r="294" spans="1:118">
      <c r="A294" s="89"/>
      <c r="B294" s="89"/>
      <c r="C294" s="89"/>
      <c r="D294" s="89"/>
      <c r="E294" s="89"/>
      <c r="F294" s="89"/>
      <c r="G294" s="89"/>
      <c r="H294" s="89"/>
      <c r="I294" s="89"/>
      <c r="CO294" s="33"/>
      <c r="CP294" s="33"/>
      <c r="CQ294" s="33"/>
      <c r="CR294" s="33"/>
      <c r="CS294" s="33"/>
      <c r="CT294" s="33"/>
      <c r="CU294" s="33"/>
      <c r="CV294" s="33"/>
      <c r="CW294" s="33"/>
      <c r="CX294" s="33"/>
      <c r="CY294" s="33"/>
      <c r="CZ294" s="33"/>
      <c r="DA294" s="33"/>
      <c r="DB294" s="33"/>
      <c r="DC294" s="33"/>
      <c r="DD294" s="33"/>
      <c r="DE294" s="33"/>
      <c r="DF294" s="33"/>
      <c r="DG294" s="33"/>
      <c r="DH294" s="33"/>
      <c r="DI294" s="33"/>
      <c r="DJ294" s="33"/>
      <c r="DK294" s="33"/>
      <c r="DL294" s="33"/>
      <c r="DM294" s="33"/>
      <c r="DN294" s="91"/>
    </row>
    <row r="295" spans="1:118">
      <c r="A295" s="89"/>
      <c r="B295" s="89"/>
      <c r="C295" s="89"/>
      <c r="D295" s="89"/>
      <c r="E295" s="89"/>
      <c r="F295" s="89"/>
      <c r="G295" s="89"/>
      <c r="H295" s="89"/>
      <c r="I295" s="89"/>
      <c r="CO295" s="33"/>
      <c r="CP295" s="33"/>
      <c r="CQ295" s="33"/>
      <c r="CR295" s="33"/>
      <c r="CS295" s="33"/>
      <c r="CT295" s="33"/>
      <c r="CU295" s="33"/>
      <c r="CV295" s="33"/>
      <c r="CW295" s="33"/>
      <c r="CX295" s="33"/>
      <c r="CY295" s="33"/>
      <c r="CZ295" s="33"/>
      <c r="DA295" s="33"/>
      <c r="DB295" s="33"/>
      <c r="DC295" s="33"/>
      <c r="DD295" s="33"/>
      <c r="DE295" s="33"/>
      <c r="DF295" s="33"/>
      <c r="DG295" s="33"/>
      <c r="DH295" s="33"/>
      <c r="DI295" s="33"/>
      <c r="DJ295" s="33"/>
      <c r="DK295" s="33"/>
      <c r="DL295" s="33"/>
      <c r="DM295" s="33"/>
      <c r="DN295" s="91"/>
    </row>
    <row r="296" spans="1:118">
      <c r="A296" s="89"/>
      <c r="B296" s="89"/>
      <c r="C296" s="89"/>
      <c r="D296" s="89"/>
      <c r="E296" s="89"/>
      <c r="F296" s="89"/>
      <c r="G296" s="89"/>
      <c r="H296" s="89"/>
      <c r="I296" s="89"/>
      <c r="CO296" s="33"/>
      <c r="CP296" s="33"/>
      <c r="CQ296" s="33"/>
      <c r="CR296" s="33"/>
      <c r="CS296" s="33"/>
      <c r="CT296" s="33"/>
      <c r="CU296" s="33"/>
      <c r="CV296" s="33"/>
      <c r="CW296" s="33"/>
      <c r="CX296" s="33"/>
      <c r="CY296" s="33"/>
      <c r="CZ296" s="33"/>
      <c r="DA296" s="33"/>
      <c r="DB296" s="33"/>
      <c r="DC296" s="33"/>
      <c r="DD296" s="33"/>
      <c r="DE296" s="33"/>
      <c r="DF296" s="33"/>
      <c r="DG296" s="33"/>
      <c r="DH296" s="33"/>
      <c r="DI296" s="33"/>
      <c r="DJ296" s="33"/>
      <c r="DK296" s="33"/>
      <c r="DL296" s="33"/>
      <c r="DM296" s="33"/>
      <c r="DN296" s="91"/>
    </row>
    <row r="297" spans="1:118">
      <c r="A297" s="89"/>
      <c r="B297" s="89"/>
      <c r="C297" s="89"/>
      <c r="D297" s="89"/>
      <c r="E297" s="89"/>
      <c r="F297" s="89"/>
      <c r="G297" s="89"/>
      <c r="H297" s="89"/>
      <c r="I297" s="89"/>
      <c r="CO297" s="33"/>
      <c r="CP297" s="33"/>
      <c r="CQ297" s="33"/>
      <c r="CR297" s="33"/>
      <c r="CS297" s="33"/>
      <c r="CT297" s="33"/>
      <c r="CU297" s="33"/>
      <c r="CV297" s="33"/>
      <c r="CW297" s="33"/>
      <c r="CX297" s="33"/>
      <c r="CY297" s="33"/>
      <c r="CZ297" s="33"/>
      <c r="DA297" s="33"/>
      <c r="DB297" s="33"/>
      <c r="DC297" s="33"/>
      <c r="DD297" s="33"/>
      <c r="DE297" s="33"/>
      <c r="DF297" s="33"/>
      <c r="DG297" s="33"/>
      <c r="DH297" s="33"/>
      <c r="DI297" s="33"/>
      <c r="DJ297" s="33"/>
      <c r="DK297" s="33"/>
      <c r="DL297" s="33"/>
      <c r="DM297" s="33"/>
      <c r="DN297" s="91"/>
    </row>
    <row r="298" spans="1:118">
      <c r="A298" s="89"/>
      <c r="B298" s="89"/>
      <c r="C298" s="89"/>
      <c r="D298" s="89"/>
      <c r="E298" s="89"/>
      <c r="F298" s="89"/>
      <c r="G298" s="89"/>
      <c r="H298" s="89"/>
      <c r="I298" s="89"/>
      <c r="CO298" s="33"/>
      <c r="CP298" s="33"/>
      <c r="CQ298" s="33"/>
      <c r="CR298" s="33"/>
      <c r="CS298" s="33"/>
      <c r="CT298" s="33"/>
      <c r="CU298" s="33"/>
      <c r="CV298" s="33"/>
      <c r="CW298" s="33"/>
      <c r="CX298" s="33"/>
      <c r="CY298" s="33"/>
      <c r="CZ298" s="33"/>
      <c r="DA298" s="33"/>
      <c r="DB298" s="33"/>
      <c r="DC298" s="33"/>
      <c r="DD298" s="33"/>
      <c r="DE298" s="33"/>
      <c r="DF298" s="33"/>
      <c r="DG298" s="33"/>
      <c r="DH298" s="33"/>
      <c r="DI298" s="33"/>
      <c r="DJ298" s="33"/>
      <c r="DK298" s="33"/>
      <c r="DL298" s="33"/>
      <c r="DM298" s="33"/>
      <c r="DN298" s="91"/>
    </row>
    <row r="299" spans="1:118">
      <c r="A299" s="89"/>
      <c r="B299" s="89"/>
      <c r="C299" s="89"/>
      <c r="D299" s="89"/>
      <c r="E299" s="89"/>
      <c r="F299" s="89"/>
      <c r="G299" s="89"/>
      <c r="H299" s="89"/>
      <c r="I299" s="89"/>
      <c r="CO299" s="33"/>
      <c r="CP299" s="33"/>
      <c r="CQ299" s="33"/>
      <c r="CR299" s="33"/>
      <c r="CS299" s="33"/>
      <c r="CT299" s="33"/>
      <c r="CU299" s="33"/>
      <c r="CV299" s="33"/>
      <c r="CW299" s="33"/>
      <c r="CX299" s="33"/>
      <c r="CY299" s="33"/>
      <c r="CZ299" s="33"/>
      <c r="DA299" s="33"/>
      <c r="DB299" s="33"/>
      <c r="DC299" s="33"/>
      <c r="DD299" s="33"/>
      <c r="DE299" s="33"/>
      <c r="DF299" s="33"/>
      <c r="DG299" s="33"/>
      <c r="DH299" s="33"/>
      <c r="DI299" s="33"/>
      <c r="DJ299" s="33"/>
      <c r="DK299" s="33"/>
      <c r="DL299" s="33"/>
      <c r="DM299" s="33"/>
      <c r="DN299" s="91"/>
    </row>
    <row r="300" spans="1:118">
      <c r="A300" s="89"/>
      <c r="B300" s="89"/>
      <c r="C300" s="89"/>
      <c r="D300" s="89"/>
      <c r="E300" s="89"/>
      <c r="F300" s="89"/>
      <c r="G300" s="89"/>
      <c r="H300" s="89"/>
      <c r="I300" s="89"/>
      <c r="CO300" s="33"/>
      <c r="CP300" s="33"/>
      <c r="CQ300" s="33"/>
      <c r="CR300" s="33"/>
      <c r="CS300" s="33"/>
      <c r="CT300" s="33"/>
      <c r="CU300" s="33"/>
      <c r="CV300" s="33"/>
      <c r="CW300" s="33"/>
      <c r="CX300" s="33"/>
      <c r="CY300" s="33"/>
      <c r="CZ300" s="33"/>
      <c r="DA300" s="33"/>
      <c r="DB300" s="33"/>
      <c r="DC300" s="33"/>
      <c r="DD300" s="33"/>
      <c r="DE300" s="33"/>
      <c r="DF300" s="33"/>
      <c r="DG300" s="33"/>
      <c r="DH300" s="33"/>
      <c r="DI300" s="33"/>
      <c r="DJ300" s="33"/>
      <c r="DK300" s="33"/>
      <c r="DL300" s="33"/>
      <c r="DM300" s="33"/>
      <c r="DN300" s="91"/>
    </row>
    <row r="301" spans="1:118">
      <c r="A301" s="89"/>
      <c r="B301" s="89"/>
      <c r="C301" s="89"/>
      <c r="D301" s="89"/>
      <c r="E301" s="89"/>
      <c r="F301" s="89"/>
      <c r="G301" s="89"/>
      <c r="H301" s="89"/>
      <c r="I301" s="89"/>
      <c r="CO301" s="33"/>
      <c r="CP301" s="33"/>
      <c r="CQ301" s="33"/>
      <c r="CR301" s="33"/>
      <c r="CS301" s="33"/>
      <c r="CT301" s="33"/>
      <c r="CU301" s="33"/>
      <c r="CV301" s="33"/>
      <c r="CW301" s="33"/>
      <c r="CX301" s="33"/>
      <c r="CY301" s="33"/>
      <c r="CZ301" s="33"/>
      <c r="DA301" s="33"/>
      <c r="DB301" s="33"/>
      <c r="DC301" s="33"/>
      <c r="DD301" s="33"/>
      <c r="DE301" s="33"/>
      <c r="DF301" s="33"/>
      <c r="DG301" s="33"/>
      <c r="DH301" s="33"/>
      <c r="DI301" s="33"/>
      <c r="DJ301" s="33"/>
      <c r="DK301" s="33"/>
      <c r="DL301" s="33"/>
      <c r="DM301" s="33"/>
      <c r="DN301" s="91"/>
    </row>
    <row r="302" spans="1:118">
      <c r="A302" s="89"/>
      <c r="B302" s="89"/>
      <c r="C302" s="89"/>
      <c r="D302" s="89"/>
      <c r="E302" s="89"/>
      <c r="F302" s="89"/>
      <c r="G302" s="89"/>
      <c r="H302" s="89"/>
      <c r="I302" s="89"/>
      <c r="CO302" s="33"/>
      <c r="CP302" s="33"/>
      <c r="CQ302" s="33"/>
      <c r="CR302" s="33"/>
      <c r="CS302" s="33"/>
      <c r="CT302" s="33"/>
      <c r="CU302" s="33"/>
      <c r="CV302" s="33"/>
      <c r="CW302" s="33"/>
      <c r="CX302" s="33"/>
      <c r="CY302" s="33"/>
      <c r="CZ302" s="33"/>
      <c r="DA302" s="33"/>
      <c r="DB302" s="33"/>
      <c r="DC302" s="33"/>
      <c r="DD302" s="33"/>
      <c r="DE302" s="33"/>
      <c r="DF302" s="33"/>
      <c r="DG302" s="33"/>
      <c r="DH302" s="33"/>
      <c r="DI302" s="33"/>
      <c r="DJ302" s="33"/>
      <c r="DK302" s="33"/>
      <c r="DL302" s="33"/>
      <c r="DM302" s="33"/>
      <c r="DN302" s="91"/>
    </row>
    <row r="303" spans="1:118">
      <c r="A303" s="89"/>
      <c r="B303" s="89"/>
      <c r="C303" s="89"/>
      <c r="D303" s="89"/>
      <c r="E303" s="89"/>
      <c r="F303" s="89"/>
      <c r="G303" s="89"/>
      <c r="H303" s="89"/>
      <c r="I303" s="89"/>
      <c r="CO303" s="33"/>
      <c r="CP303" s="33"/>
      <c r="CQ303" s="33"/>
      <c r="CR303" s="33"/>
      <c r="CS303" s="33"/>
      <c r="CT303" s="33"/>
      <c r="CU303" s="33"/>
      <c r="CV303" s="33"/>
      <c r="CW303" s="33"/>
      <c r="CX303" s="33"/>
      <c r="CY303" s="33"/>
      <c r="CZ303" s="33"/>
      <c r="DA303" s="33"/>
      <c r="DB303" s="33"/>
      <c r="DC303" s="33"/>
      <c r="DD303" s="33"/>
      <c r="DE303" s="33"/>
      <c r="DF303" s="33"/>
      <c r="DG303" s="33"/>
      <c r="DH303" s="33"/>
      <c r="DI303" s="33"/>
      <c r="DJ303" s="33"/>
      <c r="DK303" s="33"/>
      <c r="DL303" s="33"/>
      <c r="DM303" s="33"/>
      <c r="DN303" s="91"/>
    </row>
    <row r="304" spans="1:118">
      <c r="A304" s="89"/>
      <c r="B304" s="89"/>
      <c r="C304" s="89"/>
      <c r="D304" s="89"/>
      <c r="E304" s="89"/>
      <c r="F304" s="89"/>
      <c r="G304" s="89"/>
      <c r="H304" s="89"/>
      <c r="I304" s="89"/>
      <c r="CO304" s="33"/>
      <c r="CP304" s="33"/>
      <c r="CQ304" s="33"/>
      <c r="CR304" s="33"/>
      <c r="CS304" s="33"/>
      <c r="CT304" s="33"/>
      <c r="CU304" s="33"/>
      <c r="CV304" s="33"/>
      <c r="CW304" s="33"/>
      <c r="CX304" s="33"/>
      <c r="CY304" s="33"/>
      <c r="CZ304" s="33"/>
      <c r="DA304" s="33"/>
      <c r="DB304" s="33"/>
      <c r="DC304" s="33"/>
      <c r="DD304" s="33"/>
      <c r="DE304" s="33"/>
      <c r="DF304" s="33"/>
      <c r="DG304" s="33"/>
      <c r="DH304" s="33"/>
      <c r="DI304" s="33"/>
      <c r="DJ304" s="33"/>
      <c r="DK304" s="33"/>
      <c r="DL304" s="33"/>
      <c r="DM304" s="33"/>
      <c r="DN304" s="91"/>
    </row>
    <row r="305" spans="1:118">
      <c r="A305" s="89"/>
      <c r="B305" s="89"/>
      <c r="C305" s="89"/>
      <c r="D305" s="89"/>
      <c r="E305" s="89"/>
      <c r="F305" s="89"/>
      <c r="G305" s="89"/>
      <c r="H305" s="89"/>
      <c r="I305" s="89"/>
      <c r="CO305" s="33"/>
      <c r="CP305" s="33"/>
      <c r="CQ305" s="33"/>
      <c r="CR305" s="33"/>
      <c r="CS305" s="33"/>
      <c r="CT305" s="33"/>
      <c r="CU305" s="33"/>
      <c r="CV305" s="33"/>
      <c r="CW305" s="33"/>
      <c r="CX305" s="33"/>
      <c r="CY305" s="33"/>
      <c r="CZ305" s="33"/>
      <c r="DA305" s="33"/>
      <c r="DB305" s="33"/>
      <c r="DC305" s="33"/>
      <c r="DD305" s="33"/>
      <c r="DE305" s="33"/>
      <c r="DF305" s="33"/>
      <c r="DG305" s="33"/>
      <c r="DH305" s="33"/>
      <c r="DI305" s="33"/>
      <c r="DJ305" s="33"/>
      <c r="DK305" s="33"/>
      <c r="DL305" s="33"/>
      <c r="DM305" s="33"/>
      <c r="DN305" s="91"/>
    </row>
    <row r="306" spans="1:118">
      <c r="A306" s="89"/>
      <c r="B306" s="89"/>
      <c r="C306" s="89"/>
      <c r="D306" s="89"/>
      <c r="E306" s="89"/>
      <c r="F306" s="89"/>
      <c r="G306" s="89"/>
      <c r="H306" s="89"/>
      <c r="I306" s="89"/>
      <c r="CO306" s="33"/>
      <c r="CP306" s="33"/>
      <c r="CQ306" s="33"/>
      <c r="CR306" s="33"/>
      <c r="CS306" s="33"/>
      <c r="CT306" s="33"/>
      <c r="CU306" s="33"/>
      <c r="CV306" s="33"/>
      <c r="CW306" s="33"/>
      <c r="CX306" s="33"/>
      <c r="CY306" s="33"/>
      <c r="CZ306" s="33"/>
      <c r="DA306" s="33"/>
      <c r="DB306" s="33"/>
      <c r="DC306" s="33"/>
      <c r="DD306" s="33"/>
      <c r="DE306" s="33"/>
      <c r="DF306" s="33"/>
      <c r="DG306" s="33"/>
      <c r="DH306" s="33"/>
      <c r="DI306" s="33"/>
      <c r="DJ306" s="33"/>
      <c r="DK306" s="33"/>
      <c r="DL306" s="33"/>
      <c r="DM306" s="33"/>
      <c r="DN306" s="91"/>
    </row>
    <row r="307" spans="1:118">
      <c r="A307" s="89"/>
      <c r="B307" s="89"/>
      <c r="C307" s="89"/>
      <c r="D307" s="89"/>
      <c r="E307" s="89"/>
      <c r="F307" s="89"/>
      <c r="G307" s="89"/>
      <c r="H307" s="89"/>
      <c r="I307" s="89"/>
      <c r="CO307" s="33"/>
      <c r="CP307" s="33"/>
      <c r="CQ307" s="33"/>
      <c r="CR307" s="33"/>
      <c r="CS307" s="33"/>
      <c r="CT307" s="33"/>
      <c r="CU307" s="33"/>
      <c r="CV307" s="33"/>
      <c r="CW307" s="33"/>
      <c r="CX307" s="33"/>
      <c r="CY307" s="33"/>
      <c r="CZ307" s="33"/>
      <c r="DA307" s="33"/>
      <c r="DB307" s="33"/>
      <c r="DC307" s="33"/>
      <c r="DD307" s="33"/>
      <c r="DE307" s="33"/>
      <c r="DF307" s="33"/>
      <c r="DG307" s="33"/>
      <c r="DH307" s="33"/>
      <c r="DI307" s="33"/>
      <c r="DJ307" s="33"/>
      <c r="DK307" s="33"/>
      <c r="DL307" s="33"/>
      <c r="DM307" s="33"/>
      <c r="DN307" s="91"/>
    </row>
    <row r="308" spans="1:118">
      <c r="A308" s="89"/>
      <c r="B308" s="89"/>
      <c r="C308" s="89"/>
      <c r="D308" s="89"/>
      <c r="E308" s="89"/>
      <c r="F308" s="89"/>
      <c r="G308" s="89"/>
      <c r="H308" s="89"/>
      <c r="I308" s="89"/>
      <c r="CO308" s="33"/>
      <c r="CP308" s="33"/>
      <c r="CQ308" s="33"/>
      <c r="CR308" s="33"/>
      <c r="CS308" s="33"/>
      <c r="CT308" s="33"/>
      <c r="CU308" s="33"/>
      <c r="CV308" s="33"/>
      <c r="CW308" s="33"/>
      <c r="CX308" s="33"/>
      <c r="CY308" s="33"/>
      <c r="CZ308" s="33"/>
      <c r="DA308" s="33"/>
      <c r="DB308" s="33"/>
      <c r="DC308" s="33"/>
      <c r="DD308" s="33"/>
      <c r="DE308" s="33"/>
      <c r="DF308" s="33"/>
      <c r="DG308" s="33"/>
      <c r="DH308" s="33"/>
      <c r="DI308" s="33"/>
      <c r="DJ308" s="33"/>
      <c r="DK308" s="33"/>
      <c r="DL308" s="33"/>
      <c r="DM308" s="33"/>
      <c r="DN308" s="91"/>
    </row>
    <row r="309" spans="1:118">
      <c r="A309" s="89"/>
      <c r="B309" s="89"/>
      <c r="C309" s="89"/>
      <c r="D309" s="89"/>
      <c r="E309" s="89"/>
      <c r="F309" s="89"/>
      <c r="G309" s="89"/>
      <c r="H309" s="89"/>
      <c r="I309" s="89"/>
      <c r="CO309" s="33"/>
      <c r="CP309" s="33"/>
      <c r="CQ309" s="33"/>
      <c r="CR309" s="33"/>
      <c r="CS309" s="33"/>
      <c r="CT309" s="33"/>
      <c r="CU309" s="33"/>
      <c r="CV309" s="33"/>
      <c r="CW309" s="33"/>
      <c r="CX309" s="33"/>
      <c r="CY309" s="33"/>
      <c r="CZ309" s="33"/>
      <c r="DA309" s="33"/>
      <c r="DB309" s="33"/>
      <c r="DC309" s="33"/>
      <c r="DD309" s="33"/>
      <c r="DE309" s="33"/>
      <c r="DF309" s="33"/>
      <c r="DG309" s="33"/>
      <c r="DH309" s="33"/>
      <c r="DI309" s="33"/>
      <c r="DJ309" s="33"/>
      <c r="DK309" s="33"/>
      <c r="DL309" s="33"/>
      <c r="DM309" s="33"/>
      <c r="DN309" s="91"/>
    </row>
    <row r="310" spans="1:118">
      <c r="A310" s="89"/>
      <c r="B310" s="89"/>
      <c r="C310" s="89"/>
      <c r="D310" s="89"/>
      <c r="E310" s="89"/>
      <c r="F310" s="89"/>
      <c r="G310" s="89"/>
      <c r="H310" s="89"/>
      <c r="I310" s="89"/>
      <c r="CO310" s="33"/>
      <c r="CP310" s="33"/>
      <c r="CQ310" s="33"/>
      <c r="CR310" s="33"/>
      <c r="CS310" s="33"/>
      <c r="CT310" s="33"/>
      <c r="CU310" s="33"/>
      <c r="CV310" s="33"/>
      <c r="CW310" s="33"/>
      <c r="CX310" s="33"/>
      <c r="CY310" s="33"/>
      <c r="CZ310" s="33"/>
      <c r="DA310" s="33"/>
      <c r="DB310" s="33"/>
      <c r="DC310" s="33"/>
      <c r="DD310" s="33"/>
      <c r="DE310" s="33"/>
      <c r="DF310" s="33"/>
      <c r="DG310" s="33"/>
      <c r="DH310" s="33"/>
      <c r="DI310" s="33"/>
      <c r="DJ310" s="33"/>
      <c r="DK310" s="33"/>
      <c r="DL310" s="33"/>
      <c r="DM310" s="33"/>
      <c r="DN310" s="91"/>
    </row>
    <row r="311" spans="1:118">
      <c r="A311" s="89"/>
      <c r="B311" s="89"/>
      <c r="C311" s="89"/>
      <c r="D311" s="89"/>
      <c r="E311" s="89"/>
      <c r="F311" s="89"/>
      <c r="G311" s="89"/>
      <c r="H311" s="89"/>
      <c r="I311" s="89"/>
      <c r="CO311" s="33"/>
      <c r="CP311" s="33"/>
      <c r="CQ311" s="33"/>
      <c r="CR311" s="33"/>
      <c r="CS311" s="33"/>
      <c r="CT311" s="33"/>
      <c r="CU311" s="33"/>
      <c r="CV311" s="33"/>
      <c r="CW311" s="33"/>
      <c r="CX311" s="33"/>
      <c r="CY311" s="33"/>
      <c r="CZ311" s="33"/>
      <c r="DA311" s="33"/>
      <c r="DB311" s="33"/>
      <c r="DC311" s="33"/>
      <c r="DD311" s="33"/>
      <c r="DE311" s="33"/>
      <c r="DF311" s="33"/>
      <c r="DG311" s="33"/>
      <c r="DH311" s="33"/>
      <c r="DI311" s="33"/>
      <c r="DJ311" s="33"/>
      <c r="DK311" s="33"/>
      <c r="DL311" s="33"/>
      <c r="DM311" s="33"/>
    </row>
    <row r="312" spans="1:118">
      <c r="A312" s="89"/>
      <c r="B312" s="89"/>
      <c r="C312" s="89"/>
      <c r="D312" s="89"/>
      <c r="E312" s="89"/>
      <c r="F312" s="89"/>
      <c r="G312" s="89"/>
      <c r="H312" s="89"/>
      <c r="I312" s="89"/>
      <c r="CO312" s="33"/>
      <c r="CP312" s="33"/>
      <c r="CQ312" s="33"/>
      <c r="CR312" s="33"/>
      <c r="CS312" s="33"/>
      <c r="CT312" s="33"/>
      <c r="CU312" s="33"/>
      <c r="CV312" s="33"/>
      <c r="CW312" s="33"/>
      <c r="CX312" s="33"/>
      <c r="CY312" s="33"/>
      <c r="CZ312" s="33"/>
      <c r="DA312" s="33"/>
      <c r="DB312" s="33"/>
      <c r="DC312" s="33"/>
      <c r="DD312" s="33"/>
      <c r="DE312" s="33"/>
      <c r="DF312" s="33"/>
      <c r="DG312" s="33"/>
      <c r="DH312" s="33"/>
      <c r="DI312" s="33"/>
      <c r="DJ312" s="33"/>
      <c r="DK312" s="33"/>
      <c r="DL312" s="33"/>
      <c r="DM312" s="33"/>
    </row>
    <row r="313" spans="1:118">
      <c r="A313" s="89"/>
      <c r="B313" s="89"/>
      <c r="C313" s="89"/>
      <c r="D313" s="89"/>
      <c r="E313" s="89"/>
      <c r="F313" s="89"/>
      <c r="G313" s="89"/>
      <c r="H313" s="89"/>
      <c r="I313" s="89"/>
      <c r="CO313" s="33"/>
      <c r="CP313" s="33"/>
      <c r="CQ313" s="33"/>
      <c r="CR313" s="33"/>
      <c r="CS313" s="33"/>
      <c r="CT313" s="33"/>
      <c r="CU313" s="33"/>
      <c r="CV313" s="33"/>
      <c r="CW313" s="33"/>
      <c r="CX313" s="33"/>
      <c r="CY313" s="33"/>
      <c r="CZ313" s="33"/>
      <c r="DA313" s="33"/>
      <c r="DB313" s="33"/>
      <c r="DC313" s="33"/>
      <c r="DD313" s="33"/>
      <c r="DE313" s="33"/>
      <c r="DF313" s="33"/>
      <c r="DG313" s="33"/>
      <c r="DH313" s="33"/>
      <c r="DI313" s="33"/>
      <c r="DJ313" s="33"/>
      <c r="DK313" s="33"/>
      <c r="DL313" s="33"/>
      <c r="DM313" s="33"/>
    </row>
    <row r="314" spans="1:118">
      <c r="A314" s="89"/>
      <c r="C314" s="89"/>
      <c r="D314" s="89"/>
      <c r="E314" s="89"/>
      <c r="F314" s="89"/>
      <c r="G314" s="89"/>
      <c r="H314" s="89"/>
      <c r="I314" s="89"/>
      <c r="CO314" s="33"/>
      <c r="CP314" s="33"/>
      <c r="CQ314" s="33"/>
      <c r="CR314" s="33"/>
      <c r="CS314" s="33"/>
      <c r="CT314" s="33"/>
      <c r="CU314" s="33"/>
      <c r="CV314" s="33"/>
      <c r="CW314" s="33"/>
      <c r="CX314" s="33"/>
      <c r="CY314" s="33"/>
      <c r="CZ314" s="33"/>
      <c r="DA314" s="33"/>
      <c r="DB314" s="33"/>
      <c r="DC314" s="33"/>
      <c r="DD314" s="33"/>
      <c r="DE314" s="33"/>
      <c r="DF314" s="33"/>
      <c r="DG314" s="33"/>
      <c r="DH314" s="33"/>
      <c r="DI314" s="33"/>
      <c r="DJ314" s="33"/>
      <c r="DK314" s="33"/>
      <c r="DL314" s="33"/>
      <c r="DM314" s="33"/>
    </row>
    <row r="315" spans="1:118">
      <c r="CO315" s="33"/>
      <c r="CP315" s="33"/>
      <c r="CQ315" s="33"/>
      <c r="CR315" s="33"/>
      <c r="CS315" s="33"/>
      <c r="CT315" s="33"/>
      <c r="CU315" s="33"/>
      <c r="CV315" s="33"/>
      <c r="CW315" s="33"/>
      <c r="CX315" s="33"/>
      <c r="CY315" s="33"/>
      <c r="CZ315" s="33"/>
      <c r="DA315" s="33"/>
      <c r="DB315" s="33"/>
      <c r="DC315" s="33"/>
      <c r="DD315" s="33"/>
      <c r="DE315" s="33"/>
      <c r="DF315" s="33"/>
      <c r="DG315" s="33"/>
      <c r="DH315" s="33"/>
      <c r="DI315" s="33"/>
      <c r="DJ315" s="33"/>
      <c r="DK315" s="33"/>
      <c r="DL315" s="33"/>
      <c r="DM315" s="33"/>
    </row>
    <row r="316" spans="1:118">
      <c r="CO316" s="33"/>
      <c r="CP316" s="33"/>
      <c r="CQ316" s="33"/>
      <c r="CR316" s="33"/>
      <c r="CS316" s="33"/>
      <c r="CT316" s="33"/>
      <c r="CU316" s="33"/>
      <c r="CV316" s="33"/>
      <c r="CW316" s="33"/>
      <c r="CX316" s="33"/>
      <c r="CY316" s="33"/>
      <c r="CZ316" s="33"/>
      <c r="DA316" s="33"/>
      <c r="DB316" s="33"/>
      <c r="DC316" s="33"/>
      <c r="DD316" s="33"/>
      <c r="DE316" s="33"/>
      <c r="DF316" s="33"/>
      <c r="DG316" s="33"/>
      <c r="DH316" s="33"/>
      <c r="DI316" s="33"/>
      <c r="DJ316" s="33"/>
      <c r="DK316" s="33"/>
      <c r="DL316" s="33"/>
      <c r="DM316" s="33"/>
    </row>
    <row r="317" spans="1:118">
      <c r="CO317" s="33"/>
      <c r="CP317" s="33"/>
      <c r="CQ317" s="33"/>
      <c r="CR317" s="33"/>
      <c r="CS317" s="33"/>
      <c r="CT317" s="33"/>
      <c r="CU317" s="33"/>
      <c r="CV317" s="33"/>
      <c r="CW317" s="33"/>
      <c r="CX317" s="33"/>
      <c r="CY317" s="33"/>
      <c r="CZ317" s="33"/>
      <c r="DA317" s="33"/>
      <c r="DB317" s="33"/>
      <c r="DC317" s="33"/>
      <c r="DD317" s="33"/>
      <c r="DE317" s="33"/>
      <c r="DF317" s="33"/>
      <c r="DG317" s="33"/>
      <c r="DH317" s="33"/>
      <c r="DI317" s="33"/>
      <c r="DJ317" s="33"/>
      <c r="DK317" s="33"/>
      <c r="DL317" s="33"/>
      <c r="DM317" s="33"/>
    </row>
    <row r="318" spans="1:118">
      <c r="CO318" s="33"/>
      <c r="CP318" s="33"/>
      <c r="CQ318" s="33"/>
      <c r="CR318" s="33"/>
      <c r="CS318" s="33"/>
      <c r="CT318" s="33"/>
      <c r="CU318" s="33"/>
      <c r="CV318" s="33"/>
      <c r="CW318" s="33"/>
      <c r="CX318" s="33"/>
      <c r="CY318" s="33"/>
      <c r="CZ318" s="33"/>
      <c r="DA318" s="33"/>
      <c r="DB318" s="33"/>
      <c r="DC318" s="33"/>
      <c r="DD318" s="33"/>
      <c r="DE318" s="33"/>
      <c r="DF318" s="33"/>
      <c r="DG318" s="33"/>
      <c r="DH318" s="33"/>
      <c r="DI318" s="33"/>
      <c r="DJ318" s="33"/>
      <c r="DK318" s="33"/>
      <c r="DL318" s="33"/>
      <c r="DM318" s="33"/>
    </row>
    <row r="319" spans="1:118">
      <c r="CO319" s="33"/>
      <c r="CP319" s="33"/>
      <c r="CQ319" s="33"/>
      <c r="CR319" s="33"/>
      <c r="CS319" s="33"/>
      <c r="CT319" s="33"/>
      <c r="CU319" s="33"/>
      <c r="CV319" s="33"/>
      <c r="CW319" s="33"/>
      <c r="CX319" s="33"/>
      <c r="CY319" s="33"/>
      <c r="CZ319" s="33"/>
      <c r="DA319" s="33"/>
      <c r="DB319" s="33"/>
      <c r="DC319" s="33"/>
      <c r="DD319" s="33"/>
      <c r="DE319" s="33"/>
      <c r="DF319" s="33"/>
      <c r="DG319" s="33"/>
      <c r="DH319" s="33"/>
      <c r="DI319" s="33"/>
      <c r="DJ319" s="33"/>
      <c r="DK319" s="33"/>
      <c r="DL319" s="33"/>
      <c r="DM319" s="33"/>
    </row>
    <row r="320" spans="1:118">
      <c r="CO320" s="33"/>
      <c r="CP320" s="33"/>
      <c r="CQ320" s="33"/>
      <c r="CR320" s="33"/>
      <c r="CS320" s="33"/>
      <c r="CT320" s="33"/>
      <c r="CU320" s="33"/>
      <c r="CV320" s="33"/>
      <c r="CW320" s="33"/>
      <c r="CX320" s="33"/>
      <c r="CY320" s="33"/>
      <c r="CZ320" s="33"/>
      <c r="DA320" s="33"/>
      <c r="DB320" s="33"/>
      <c r="DC320" s="33"/>
      <c r="DD320" s="33"/>
      <c r="DE320" s="33"/>
      <c r="DF320" s="33"/>
      <c r="DG320" s="33"/>
      <c r="DH320" s="33"/>
      <c r="DI320" s="33"/>
      <c r="DJ320" s="33"/>
      <c r="DK320" s="33"/>
      <c r="DL320" s="33"/>
      <c r="DM320" s="33"/>
    </row>
    <row r="321" spans="93:117">
      <c r="CO321" s="33"/>
      <c r="CP321" s="33"/>
      <c r="CQ321" s="33"/>
      <c r="CR321" s="33"/>
      <c r="CS321" s="33"/>
      <c r="CT321" s="33"/>
      <c r="CU321" s="33"/>
      <c r="CV321" s="33"/>
      <c r="CW321" s="33"/>
      <c r="CX321" s="33"/>
      <c r="CY321" s="33"/>
      <c r="CZ321" s="33"/>
      <c r="DA321" s="33"/>
      <c r="DB321" s="33"/>
      <c r="DC321" s="33"/>
      <c r="DD321" s="33"/>
      <c r="DE321" s="33"/>
      <c r="DF321" s="33"/>
      <c r="DG321" s="33"/>
      <c r="DH321" s="33"/>
      <c r="DI321" s="33"/>
      <c r="DJ321" s="33"/>
      <c r="DK321" s="33"/>
      <c r="DL321" s="33"/>
      <c r="DM321" s="33"/>
    </row>
    <row r="322" spans="93:117">
      <c r="CO322" s="33"/>
      <c r="CP322" s="33"/>
      <c r="CQ322" s="33"/>
      <c r="CR322" s="33"/>
      <c r="CS322" s="33"/>
      <c r="CT322" s="33"/>
      <c r="CU322" s="33"/>
      <c r="CV322" s="33"/>
      <c r="CW322" s="33"/>
      <c r="CX322" s="33"/>
      <c r="CY322" s="33"/>
      <c r="CZ322" s="33"/>
      <c r="DA322" s="33"/>
      <c r="DB322" s="33"/>
      <c r="DC322" s="33"/>
      <c r="DD322" s="33"/>
      <c r="DE322" s="33"/>
      <c r="DF322" s="33"/>
      <c r="DG322" s="33"/>
      <c r="DH322" s="33"/>
      <c r="DI322" s="33"/>
      <c r="DJ322" s="33"/>
      <c r="DK322" s="33"/>
      <c r="DL322" s="33"/>
      <c r="DM322" s="33"/>
    </row>
    <row r="323" spans="93:117">
      <c r="CO323" s="33"/>
      <c r="CP323" s="33"/>
      <c r="CQ323" s="33"/>
      <c r="CR323" s="33"/>
      <c r="CS323" s="33"/>
      <c r="CT323" s="33"/>
      <c r="CU323" s="33"/>
      <c r="CV323" s="33"/>
      <c r="CW323" s="33"/>
      <c r="CX323" s="33"/>
      <c r="CY323" s="33"/>
      <c r="CZ323" s="33"/>
      <c r="DA323" s="33"/>
      <c r="DB323" s="33"/>
      <c r="DC323" s="33"/>
      <c r="DD323" s="33"/>
      <c r="DE323" s="33"/>
      <c r="DF323" s="33"/>
      <c r="DG323" s="33"/>
      <c r="DH323" s="33"/>
      <c r="DI323" s="33"/>
      <c r="DJ323" s="33"/>
      <c r="DK323" s="33"/>
      <c r="DL323" s="33"/>
      <c r="DM323" s="33"/>
    </row>
    <row r="324" spans="93:117">
      <c r="CO324" s="33"/>
      <c r="CP324" s="33"/>
      <c r="CQ324" s="33"/>
      <c r="CR324" s="33"/>
      <c r="CS324" s="33"/>
      <c r="CT324" s="33"/>
      <c r="CU324" s="33"/>
      <c r="CV324" s="33"/>
      <c r="CW324" s="33"/>
      <c r="CX324" s="33"/>
      <c r="CY324" s="33"/>
      <c r="CZ324" s="33"/>
      <c r="DA324" s="33"/>
      <c r="DB324" s="33"/>
      <c r="DC324" s="33"/>
      <c r="DD324" s="33"/>
      <c r="DE324" s="33"/>
      <c r="DF324" s="33"/>
      <c r="DG324" s="33"/>
      <c r="DH324" s="33"/>
      <c r="DI324" s="33"/>
      <c r="DJ324" s="33"/>
      <c r="DK324" s="33"/>
      <c r="DL324" s="33"/>
      <c r="DM324" s="33"/>
    </row>
    <row r="325" spans="93:117">
      <c r="CO325" s="33"/>
      <c r="CP325" s="33"/>
      <c r="CQ325" s="33"/>
      <c r="CR325" s="33"/>
      <c r="CS325" s="33"/>
      <c r="CT325" s="33"/>
      <c r="CU325" s="33"/>
      <c r="CV325" s="33"/>
      <c r="CW325" s="33"/>
      <c r="CX325" s="33"/>
      <c r="CY325" s="33"/>
      <c r="CZ325" s="33"/>
      <c r="DA325" s="33"/>
      <c r="DB325" s="33"/>
      <c r="DC325" s="33"/>
      <c r="DD325" s="33"/>
      <c r="DE325" s="33"/>
      <c r="DF325" s="33"/>
      <c r="DG325" s="33"/>
      <c r="DH325" s="33"/>
      <c r="DI325" s="33"/>
      <c r="DJ325" s="33"/>
      <c r="DK325" s="33"/>
      <c r="DL325" s="33"/>
      <c r="DM325" s="33"/>
    </row>
    <row r="326" spans="93:117">
      <c r="CO326" s="33"/>
      <c r="CP326" s="33"/>
      <c r="CQ326" s="33"/>
      <c r="CR326" s="33"/>
      <c r="CS326" s="33"/>
      <c r="CT326" s="33"/>
      <c r="CU326" s="33"/>
      <c r="CV326" s="33"/>
      <c r="CW326" s="33"/>
      <c r="CX326" s="33"/>
      <c r="CY326" s="33"/>
      <c r="CZ326" s="33"/>
      <c r="DA326" s="33"/>
      <c r="DB326" s="33"/>
      <c r="DC326" s="33"/>
      <c r="DD326" s="33"/>
      <c r="DE326" s="33"/>
      <c r="DF326" s="33"/>
      <c r="DG326" s="33"/>
      <c r="DH326" s="33"/>
      <c r="DI326" s="33"/>
      <c r="DJ326" s="33"/>
      <c r="DK326" s="33"/>
      <c r="DL326" s="33"/>
      <c r="DM326" s="33"/>
    </row>
    <row r="327" spans="93:117">
      <c r="CO327" s="33"/>
      <c r="CP327" s="33"/>
      <c r="CQ327" s="33"/>
      <c r="CR327" s="33"/>
      <c r="CS327" s="33"/>
      <c r="CT327" s="33"/>
      <c r="CU327" s="33"/>
      <c r="CV327" s="33"/>
      <c r="CW327" s="33"/>
      <c r="CX327" s="33"/>
      <c r="CY327" s="33"/>
      <c r="CZ327" s="33"/>
      <c r="DA327" s="33"/>
      <c r="DB327" s="33"/>
      <c r="DC327" s="33"/>
      <c r="DD327" s="33"/>
      <c r="DE327" s="33"/>
      <c r="DF327" s="33"/>
      <c r="DG327" s="33"/>
      <c r="DH327" s="33"/>
      <c r="DI327" s="33"/>
      <c r="DJ327" s="33"/>
      <c r="DK327" s="33"/>
      <c r="DL327" s="33"/>
      <c r="DM327" s="33"/>
    </row>
    <row r="328" spans="93:117">
      <c r="CO328" s="33"/>
      <c r="CP328" s="33"/>
      <c r="CQ328" s="33"/>
      <c r="CR328" s="33"/>
      <c r="CS328" s="33"/>
      <c r="CT328" s="33"/>
      <c r="CU328" s="33"/>
      <c r="CV328" s="33"/>
      <c r="CW328" s="33"/>
      <c r="CX328" s="33"/>
      <c r="CY328" s="33"/>
      <c r="CZ328" s="33"/>
      <c r="DA328" s="33"/>
      <c r="DB328" s="33"/>
      <c r="DC328" s="33"/>
      <c r="DD328" s="33"/>
      <c r="DE328" s="33"/>
      <c r="DF328" s="33"/>
      <c r="DG328" s="33"/>
      <c r="DH328" s="33"/>
      <c r="DI328" s="33"/>
      <c r="DJ328" s="33"/>
      <c r="DK328" s="33"/>
      <c r="DL328" s="33"/>
      <c r="DM328" s="33"/>
    </row>
    <row r="329" spans="93:117">
      <c r="CO329" s="33"/>
      <c r="CP329" s="33"/>
      <c r="CQ329" s="33"/>
      <c r="CR329" s="33"/>
      <c r="CS329" s="33"/>
      <c r="CT329" s="33"/>
      <c r="CU329" s="33"/>
      <c r="CV329" s="33"/>
      <c r="CW329" s="33"/>
      <c r="CX329" s="33"/>
      <c r="CY329" s="33"/>
      <c r="CZ329" s="33"/>
      <c r="DA329" s="33"/>
      <c r="DB329" s="33"/>
      <c r="DC329" s="33"/>
      <c r="DD329" s="33"/>
      <c r="DE329" s="33"/>
      <c r="DF329" s="33"/>
      <c r="DG329" s="33"/>
      <c r="DH329" s="33"/>
      <c r="DI329" s="33"/>
      <c r="DJ329" s="33"/>
      <c r="DK329" s="33"/>
      <c r="DL329" s="33"/>
      <c r="DM329" s="33"/>
    </row>
    <row r="330" spans="93:117">
      <c r="CO330" s="33"/>
      <c r="CP330" s="33"/>
      <c r="CQ330" s="33"/>
      <c r="CR330" s="33"/>
      <c r="CS330" s="33"/>
      <c r="CT330" s="33"/>
      <c r="CU330" s="33"/>
      <c r="CV330" s="33"/>
      <c r="CW330" s="33"/>
      <c r="CX330" s="33"/>
      <c r="CY330" s="33"/>
      <c r="CZ330" s="33"/>
      <c r="DA330" s="33"/>
      <c r="DB330" s="33"/>
      <c r="DC330" s="33"/>
      <c r="DD330" s="33"/>
      <c r="DE330" s="33"/>
      <c r="DF330" s="33"/>
      <c r="DG330" s="33"/>
      <c r="DH330" s="33"/>
      <c r="DI330" s="33"/>
      <c r="DJ330" s="33"/>
      <c r="DK330" s="33"/>
      <c r="DL330" s="33"/>
      <c r="DM330" s="33"/>
    </row>
    <row r="331" spans="93:117">
      <c r="CO331" s="33"/>
      <c r="CP331" s="33"/>
      <c r="CQ331" s="33"/>
      <c r="CR331" s="33"/>
      <c r="CS331" s="33"/>
      <c r="CT331" s="33"/>
      <c r="CU331" s="33"/>
      <c r="CV331" s="33"/>
      <c r="CW331" s="33"/>
      <c r="CX331" s="33"/>
      <c r="CY331" s="33"/>
      <c r="CZ331" s="33"/>
      <c r="DA331" s="33"/>
      <c r="DB331" s="33"/>
      <c r="DC331" s="33"/>
      <c r="DD331" s="33"/>
      <c r="DE331" s="33"/>
      <c r="DF331" s="33"/>
      <c r="DG331" s="33"/>
      <c r="DH331" s="33"/>
      <c r="DI331" s="33"/>
      <c r="DJ331" s="33"/>
      <c r="DK331" s="33"/>
      <c r="DL331" s="33"/>
      <c r="DM331" s="33"/>
    </row>
    <row r="332" spans="93:117">
      <c r="CO332" s="33"/>
      <c r="CP332" s="33"/>
      <c r="CQ332" s="33"/>
      <c r="CR332" s="33"/>
      <c r="CS332" s="33"/>
      <c r="CT332" s="33"/>
      <c r="CU332" s="33"/>
      <c r="CV332" s="33"/>
      <c r="CW332" s="33"/>
      <c r="CX332" s="33"/>
      <c r="CY332" s="33"/>
      <c r="CZ332" s="33"/>
      <c r="DA332" s="33"/>
      <c r="DB332" s="33"/>
      <c r="DC332" s="33"/>
      <c r="DD332" s="33"/>
      <c r="DE332" s="33"/>
      <c r="DF332" s="33"/>
      <c r="DG332" s="33"/>
      <c r="DH332" s="33"/>
      <c r="DI332" s="33"/>
      <c r="DJ332" s="33"/>
      <c r="DK332" s="33"/>
      <c r="DL332" s="33"/>
      <c r="DM332" s="33"/>
    </row>
    <row r="333" spans="93:117">
      <c r="CO333" s="33"/>
      <c r="CP333" s="33"/>
      <c r="CQ333" s="33"/>
      <c r="CR333" s="33"/>
      <c r="CS333" s="33"/>
      <c r="CT333" s="33"/>
      <c r="CU333" s="33"/>
      <c r="CV333" s="33"/>
      <c r="CW333" s="33"/>
      <c r="CX333" s="33"/>
      <c r="CY333" s="33"/>
      <c r="CZ333" s="33"/>
      <c r="DA333" s="33"/>
      <c r="DB333" s="33"/>
      <c r="DC333" s="33"/>
      <c r="DD333" s="33"/>
      <c r="DE333" s="33"/>
      <c r="DF333" s="33"/>
      <c r="DG333" s="33"/>
      <c r="DH333" s="33"/>
      <c r="DI333" s="33"/>
      <c r="DJ333" s="33"/>
      <c r="DK333" s="33"/>
      <c r="DL333" s="33"/>
      <c r="DM333" s="33"/>
    </row>
    <row r="334" spans="93:117">
      <c r="CO334" s="33"/>
      <c r="CP334" s="33"/>
      <c r="CQ334" s="33"/>
      <c r="CR334" s="33"/>
      <c r="CS334" s="33"/>
      <c r="CT334" s="33"/>
      <c r="CU334" s="33"/>
      <c r="CV334" s="33"/>
      <c r="CW334" s="33"/>
      <c r="CX334" s="33"/>
      <c r="CY334" s="33"/>
      <c r="CZ334" s="33"/>
      <c r="DA334" s="33"/>
      <c r="DB334" s="33"/>
      <c r="DC334" s="33"/>
      <c r="DD334" s="33"/>
      <c r="DE334" s="33"/>
      <c r="DF334" s="33"/>
      <c r="DG334" s="33"/>
      <c r="DH334" s="33"/>
      <c r="DI334" s="33"/>
      <c r="DJ334" s="33"/>
      <c r="DK334" s="33"/>
      <c r="DL334" s="33"/>
      <c r="DM334" s="33"/>
    </row>
    <row r="335" spans="93:117">
      <c r="CO335" s="33"/>
      <c r="CP335" s="33"/>
      <c r="CQ335" s="33"/>
      <c r="CR335" s="33"/>
      <c r="CS335" s="33"/>
      <c r="CT335" s="33"/>
      <c r="CU335" s="33"/>
      <c r="CV335" s="33"/>
      <c r="CW335" s="33"/>
      <c r="CX335" s="33"/>
      <c r="CY335" s="33"/>
      <c r="CZ335" s="33"/>
      <c r="DA335" s="33"/>
      <c r="DB335" s="33"/>
      <c r="DC335" s="33"/>
      <c r="DD335" s="33"/>
      <c r="DE335" s="33"/>
      <c r="DF335" s="33"/>
      <c r="DG335" s="33"/>
      <c r="DH335" s="33"/>
      <c r="DI335" s="33"/>
      <c r="DJ335" s="33"/>
      <c r="DK335" s="33"/>
      <c r="DL335" s="33"/>
      <c r="DM335" s="33"/>
    </row>
    <row r="336" spans="93:117">
      <c r="CO336" s="33"/>
      <c r="CP336" s="33"/>
      <c r="CQ336" s="33"/>
      <c r="CR336" s="33"/>
      <c r="CS336" s="33"/>
      <c r="CT336" s="33"/>
      <c r="CU336" s="33"/>
      <c r="CV336" s="33"/>
      <c r="CW336" s="33"/>
      <c r="CX336" s="33"/>
      <c r="CY336" s="33"/>
      <c r="CZ336" s="33"/>
      <c r="DA336" s="33"/>
      <c r="DB336" s="33"/>
      <c r="DC336" s="33"/>
      <c r="DD336" s="33"/>
      <c r="DE336" s="33"/>
      <c r="DF336" s="33"/>
      <c r="DG336" s="33"/>
      <c r="DH336" s="33"/>
      <c r="DI336" s="33"/>
      <c r="DJ336" s="33"/>
      <c r="DK336" s="33"/>
      <c r="DL336" s="33"/>
      <c r="DM336" s="33"/>
    </row>
    <row r="337" spans="93:117">
      <c r="CO337" s="33"/>
      <c r="CP337" s="33"/>
      <c r="CQ337" s="33"/>
      <c r="CR337" s="33"/>
      <c r="CS337" s="33"/>
      <c r="CT337" s="33"/>
      <c r="CU337" s="33"/>
      <c r="CV337" s="33"/>
      <c r="CW337" s="33"/>
      <c r="CX337" s="33"/>
      <c r="CY337" s="33"/>
      <c r="CZ337" s="33"/>
      <c r="DA337" s="33"/>
      <c r="DB337" s="33"/>
      <c r="DC337" s="33"/>
      <c r="DD337" s="33"/>
      <c r="DE337" s="33"/>
      <c r="DF337" s="33"/>
      <c r="DG337" s="33"/>
      <c r="DH337" s="33"/>
      <c r="DI337" s="33"/>
      <c r="DJ337" s="33"/>
      <c r="DK337" s="33"/>
      <c r="DL337" s="33"/>
      <c r="DM337" s="33"/>
    </row>
    <row r="338" spans="93:117">
      <c r="CO338" s="33"/>
      <c r="CP338" s="33"/>
      <c r="CQ338" s="33"/>
      <c r="CR338" s="33"/>
      <c r="CS338" s="33"/>
      <c r="CT338" s="33"/>
      <c r="CU338" s="33"/>
      <c r="CV338" s="33"/>
      <c r="CW338" s="33"/>
      <c r="CX338" s="33"/>
      <c r="CY338" s="33"/>
      <c r="CZ338" s="33"/>
      <c r="DA338" s="33"/>
      <c r="DB338" s="33"/>
      <c r="DC338" s="33"/>
      <c r="DD338" s="33"/>
      <c r="DE338" s="33"/>
      <c r="DF338" s="33"/>
      <c r="DG338" s="33"/>
      <c r="DH338" s="33"/>
      <c r="DI338" s="33"/>
      <c r="DJ338" s="33"/>
      <c r="DK338" s="33"/>
      <c r="DL338" s="33"/>
      <c r="DM338" s="33"/>
    </row>
    <row r="339" spans="93:117">
      <c r="CO339" s="33"/>
      <c r="CP339" s="33"/>
      <c r="CQ339" s="33"/>
      <c r="CR339" s="33"/>
      <c r="CS339" s="33"/>
      <c r="CT339" s="33"/>
      <c r="CU339" s="33"/>
      <c r="CV339" s="33"/>
      <c r="CW339" s="33"/>
      <c r="CX339" s="33"/>
      <c r="CY339" s="33"/>
      <c r="CZ339" s="33"/>
      <c r="DA339" s="33"/>
      <c r="DB339" s="33"/>
      <c r="DC339" s="33"/>
      <c r="DD339" s="33"/>
      <c r="DE339" s="33"/>
      <c r="DF339" s="33"/>
      <c r="DG339" s="33"/>
      <c r="DH339" s="33"/>
      <c r="DI339" s="33"/>
      <c r="DJ339" s="33"/>
      <c r="DK339" s="33"/>
      <c r="DL339" s="33"/>
      <c r="DM339" s="33"/>
    </row>
    <row r="340" spans="93:117">
      <c r="CO340" s="33"/>
      <c r="CP340" s="33"/>
      <c r="CQ340" s="33"/>
      <c r="CR340" s="33"/>
      <c r="CS340" s="33"/>
      <c r="CT340" s="33"/>
      <c r="CU340" s="33"/>
      <c r="CV340" s="33"/>
      <c r="CW340" s="33"/>
      <c r="CX340" s="33"/>
      <c r="CY340" s="33"/>
      <c r="CZ340" s="33"/>
      <c r="DA340" s="33"/>
      <c r="DB340" s="33"/>
      <c r="DC340" s="33"/>
      <c r="DD340" s="33"/>
      <c r="DE340" s="33"/>
      <c r="DF340" s="33"/>
      <c r="DG340" s="33"/>
      <c r="DH340" s="33"/>
      <c r="DI340" s="33"/>
      <c r="DJ340" s="33"/>
      <c r="DK340" s="33"/>
      <c r="DL340" s="33"/>
      <c r="DM340" s="33"/>
    </row>
    <row r="341" spans="93:117">
      <c r="CO341" s="33"/>
      <c r="CP341" s="33"/>
      <c r="CQ341" s="33"/>
      <c r="CR341" s="33"/>
      <c r="CS341" s="33"/>
      <c r="CT341" s="33"/>
      <c r="CU341" s="33"/>
      <c r="CV341" s="33"/>
      <c r="CW341" s="33"/>
      <c r="CX341" s="33"/>
      <c r="CY341" s="33"/>
      <c r="CZ341" s="33"/>
      <c r="DA341" s="33"/>
      <c r="DB341" s="33"/>
      <c r="DC341" s="33"/>
      <c r="DD341" s="33"/>
      <c r="DE341" s="33"/>
      <c r="DF341" s="33"/>
      <c r="DG341" s="33"/>
      <c r="DH341" s="33"/>
      <c r="DI341" s="33"/>
      <c r="DJ341" s="33"/>
      <c r="DK341" s="33"/>
      <c r="DL341" s="33"/>
      <c r="DM341" s="33"/>
    </row>
    <row r="342" spans="93:117">
      <c r="CO342" s="33"/>
      <c r="CP342" s="33"/>
      <c r="CQ342" s="33"/>
      <c r="CR342" s="33"/>
      <c r="CS342" s="33"/>
      <c r="CT342" s="33"/>
      <c r="CU342" s="33"/>
      <c r="CV342" s="33"/>
      <c r="CW342" s="33"/>
      <c r="CX342" s="33"/>
      <c r="CY342" s="33"/>
      <c r="CZ342" s="33"/>
      <c r="DA342" s="33"/>
      <c r="DB342" s="33"/>
      <c r="DC342" s="33"/>
      <c r="DD342" s="33"/>
      <c r="DE342" s="33"/>
      <c r="DF342" s="33"/>
      <c r="DG342" s="33"/>
      <c r="DH342" s="33"/>
      <c r="DI342" s="33"/>
      <c r="DJ342" s="33"/>
      <c r="DK342" s="33"/>
      <c r="DL342" s="33"/>
      <c r="DM342" s="33"/>
    </row>
    <row r="343" spans="93:117">
      <c r="CO343" s="33"/>
      <c r="CP343" s="33"/>
      <c r="CQ343" s="33"/>
      <c r="CR343" s="33"/>
      <c r="CS343" s="33"/>
      <c r="CT343" s="33"/>
      <c r="CU343" s="33"/>
      <c r="CV343" s="33"/>
      <c r="CW343" s="33"/>
      <c r="CX343" s="33"/>
      <c r="CY343" s="33"/>
      <c r="CZ343" s="33"/>
      <c r="DA343" s="33"/>
      <c r="DB343" s="33"/>
      <c r="DC343" s="33"/>
      <c r="DD343" s="33"/>
      <c r="DE343" s="33"/>
      <c r="DF343" s="33"/>
      <c r="DG343" s="33"/>
      <c r="DH343" s="33"/>
      <c r="DI343" s="33"/>
      <c r="DJ343" s="33"/>
      <c r="DK343" s="33"/>
      <c r="DL343" s="33"/>
      <c r="DM343" s="33"/>
    </row>
    <row r="344" spans="93:117">
      <c r="CO344" s="33"/>
      <c r="CP344" s="33"/>
      <c r="CQ344" s="33"/>
      <c r="CR344" s="33"/>
      <c r="CS344" s="33"/>
      <c r="CT344" s="33"/>
      <c r="CU344" s="33"/>
      <c r="CV344" s="33"/>
      <c r="CW344" s="33"/>
      <c r="CX344" s="33"/>
      <c r="CY344" s="33"/>
      <c r="CZ344" s="33"/>
      <c r="DA344" s="33"/>
      <c r="DB344" s="33"/>
      <c r="DC344" s="33"/>
      <c r="DD344" s="33"/>
      <c r="DE344" s="33"/>
      <c r="DF344" s="33"/>
      <c r="DG344" s="33"/>
      <c r="DH344" s="33"/>
      <c r="DI344" s="33"/>
      <c r="DJ344" s="33"/>
      <c r="DK344" s="33"/>
      <c r="DL344" s="33"/>
      <c r="DM344" s="33"/>
    </row>
    <row r="345" spans="93:117">
      <c r="CO345" s="33"/>
      <c r="CP345" s="33"/>
      <c r="CQ345" s="33"/>
      <c r="CR345" s="33"/>
      <c r="CS345" s="33"/>
      <c r="CT345" s="33"/>
      <c r="CU345" s="33"/>
      <c r="CV345" s="33"/>
      <c r="CW345" s="33"/>
      <c r="CX345" s="33"/>
      <c r="CY345" s="33"/>
      <c r="CZ345" s="33"/>
      <c r="DA345" s="33"/>
      <c r="DB345" s="33"/>
      <c r="DC345" s="33"/>
      <c r="DD345" s="33"/>
      <c r="DE345" s="33"/>
      <c r="DF345" s="33"/>
      <c r="DG345" s="33"/>
      <c r="DH345" s="33"/>
      <c r="DI345" s="33"/>
      <c r="DJ345" s="33"/>
      <c r="DK345" s="33"/>
      <c r="DL345" s="33"/>
      <c r="DM345" s="33"/>
    </row>
    <row r="346" spans="93:117">
      <c r="CO346" s="33"/>
      <c r="CP346" s="33"/>
      <c r="CQ346" s="33"/>
      <c r="CR346" s="33"/>
      <c r="CS346" s="33"/>
      <c r="CT346" s="33"/>
      <c r="CU346" s="33"/>
      <c r="CV346" s="33"/>
      <c r="CW346" s="33"/>
      <c r="CX346" s="33"/>
      <c r="CY346" s="33"/>
      <c r="CZ346" s="33"/>
      <c r="DA346" s="33"/>
      <c r="DB346" s="33"/>
      <c r="DC346" s="33"/>
      <c r="DD346" s="33"/>
      <c r="DE346" s="33"/>
      <c r="DF346" s="33"/>
      <c r="DG346" s="33"/>
      <c r="DH346" s="33"/>
      <c r="DI346" s="33"/>
      <c r="DJ346" s="33"/>
      <c r="DK346" s="33"/>
      <c r="DL346" s="33"/>
      <c r="DM346" s="33"/>
    </row>
    <row r="347" spans="93:117">
      <c r="CO347" s="33"/>
      <c r="CP347" s="33"/>
      <c r="CQ347" s="33"/>
      <c r="CR347" s="33"/>
      <c r="CS347" s="33"/>
      <c r="CT347" s="33"/>
      <c r="CU347" s="33"/>
      <c r="CV347" s="33"/>
      <c r="CW347" s="33"/>
      <c r="CX347" s="33"/>
      <c r="CY347" s="33"/>
      <c r="CZ347" s="33"/>
      <c r="DA347" s="33"/>
      <c r="DB347" s="33"/>
      <c r="DC347" s="33"/>
      <c r="DD347" s="33"/>
      <c r="DE347" s="33"/>
      <c r="DF347" s="33"/>
      <c r="DG347" s="33"/>
      <c r="DH347" s="33"/>
      <c r="DI347" s="33"/>
      <c r="DJ347" s="33"/>
      <c r="DK347" s="33"/>
      <c r="DL347" s="33"/>
      <c r="DM347" s="33"/>
    </row>
    <row r="348" spans="93:117">
      <c r="CO348" s="33"/>
      <c r="CP348" s="33"/>
      <c r="CQ348" s="33"/>
      <c r="CR348" s="33"/>
      <c r="CS348" s="33"/>
      <c r="CT348" s="33"/>
      <c r="CU348" s="33"/>
      <c r="CV348" s="33"/>
      <c r="CW348" s="33"/>
      <c r="CX348" s="33"/>
      <c r="CY348" s="33"/>
      <c r="CZ348" s="33"/>
      <c r="DA348" s="33"/>
      <c r="DB348" s="33"/>
      <c r="DC348" s="33"/>
      <c r="DD348" s="33"/>
      <c r="DE348" s="33"/>
      <c r="DF348" s="33"/>
      <c r="DG348" s="33"/>
      <c r="DH348" s="33"/>
      <c r="DI348" s="33"/>
      <c r="DJ348" s="33"/>
      <c r="DK348" s="33"/>
      <c r="DL348" s="33"/>
      <c r="DM348" s="33"/>
    </row>
    <row r="349" spans="93:117">
      <c r="CO349" s="33"/>
      <c r="CP349" s="33"/>
      <c r="CQ349" s="33"/>
      <c r="CR349" s="33"/>
      <c r="CS349" s="33"/>
      <c r="CT349" s="33"/>
      <c r="CU349" s="33"/>
      <c r="CV349" s="33"/>
      <c r="CW349" s="33"/>
      <c r="CX349" s="33"/>
      <c r="CY349" s="33"/>
      <c r="CZ349" s="33"/>
      <c r="DA349" s="33"/>
      <c r="DB349" s="33"/>
      <c r="DC349" s="33"/>
      <c r="DD349" s="33"/>
      <c r="DE349" s="33"/>
      <c r="DF349" s="33"/>
      <c r="DG349" s="33"/>
      <c r="DH349" s="33"/>
      <c r="DI349" s="33"/>
      <c r="DJ349" s="33"/>
      <c r="DK349" s="33"/>
      <c r="DL349" s="33"/>
      <c r="DM349" s="33"/>
    </row>
    <row r="350" spans="93:117">
      <c r="CO350" s="33"/>
      <c r="CP350" s="33"/>
      <c r="CQ350" s="33"/>
      <c r="CR350" s="33"/>
      <c r="CS350" s="33"/>
      <c r="CT350" s="33"/>
      <c r="CU350" s="33"/>
      <c r="CV350" s="33"/>
      <c r="CW350" s="33"/>
      <c r="CX350" s="33"/>
      <c r="CY350" s="33"/>
      <c r="CZ350" s="33"/>
      <c r="DA350" s="33"/>
      <c r="DB350" s="33"/>
      <c r="DC350" s="33"/>
      <c r="DD350" s="33"/>
      <c r="DE350" s="33"/>
      <c r="DF350" s="33"/>
      <c r="DG350" s="33"/>
      <c r="DH350" s="33"/>
      <c r="DI350" s="33"/>
      <c r="DJ350" s="33"/>
      <c r="DK350" s="33"/>
      <c r="DL350" s="33"/>
      <c r="DM350" s="33"/>
    </row>
    <row r="351" spans="93:117">
      <c r="CO351" s="33"/>
      <c r="CP351" s="33"/>
      <c r="CQ351" s="33"/>
      <c r="CR351" s="33"/>
      <c r="CS351" s="33"/>
      <c r="CT351" s="33"/>
      <c r="CU351" s="33"/>
      <c r="CV351" s="33"/>
      <c r="CW351" s="33"/>
      <c r="CX351" s="33"/>
      <c r="CY351" s="33"/>
      <c r="CZ351" s="33"/>
      <c r="DA351" s="33"/>
      <c r="DB351" s="33"/>
      <c r="DC351" s="33"/>
      <c r="DD351" s="33"/>
      <c r="DE351" s="33"/>
      <c r="DF351" s="33"/>
      <c r="DG351" s="33"/>
      <c r="DH351" s="33"/>
      <c r="DI351" s="33"/>
      <c r="DJ351" s="33"/>
      <c r="DK351" s="33"/>
      <c r="DL351" s="33"/>
      <c r="DM351" s="33"/>
    </row>
    <row r="352" spans="93:117">
      <c r="CO352" s="33"/>
      <c r="CP352" s="33"/>
      <c r="CQ352" s="33"/>
      <c r="CR352" s="33"/>
      <c r="CS352" s="33"/>
      <c r="CT352" s="33"/>
      <c r="CU352" s="33"/>
      <c r="CV352" s="33"/>
      <c r="CW352" s="33"/>
      <c r="CX352" s="33"/>
      <c r="CY352" s="33"/>
      <c r="CZ352" s="33"/>
      <c r="DA352" s="33"/>
      <c r="DB352" s="33"/>
      <c r="DC352" s="33"/>
      <c r="DD352" s="33"/>
      <c r="DE352" s="33"/>
      <c r="DF352" s="33"/>
      <c r="DG352" s="33"/>
      <c r="DH352" s="33"/>
      <c r="DI352" s="33"/>
      <c r="DJ352" s="33"/>
      <c r="DK352" s="33"/>
      <c r="DL352" s="33"/>
      <c r="DM352" s="33"/>
    </row>
    <row r="353" spans="93:117">
      <c r="CO353" s="33"/>
      <c r="CP353" s="33"/>
      <c r="CQ353" s="33"/>
      <c r="CR353" s="33"/>
      <c r="CS353" s="33"/>
      <c r="CT353" s="33"/>
      <c r="CU353" s="33"/>
      <c r="CV353" s="33"/>
      <c r="CW353" s="33"/>
      <c r="CX353" s="33"/>
      <c r="CY353" s="33"/>
      <c r="CZ353" s="33"/>
      <c r="DA353" s="33"/>
      <c r="DB353" s="33"/>
      <c r="DC353" s="33"/>
      <c r="DD353" s="33"/>
      <c r="DE353" s="33"/>
      <c r="DF353" s="33"/>
      <c r="DG353" s="33"/>
      <c r="DH353" s="33"/>
      <c r="DI353" s="33"/>
      <c r="DJ353" s="33"/>
      <c r="DK353" s="33"/>
      <c r="DL353" s="33"/>
      <c r="DM353" s="33"/>
    </row>
    <row r="354" spans="93:117">
      <c r="CO354" s="33"/>
      <c r="CP354" s="33"/>
      <c r="CQ354" s="33"/>
      <c r="CR354" s="33"/>
      <c r="CS354" s="33"/>
      <c r="CT354" s="33"/>
      <c r="CU354" s="33"/>
      <c r="CV354" s="33"/>
      <c r="CW354" s="33"/>
      <c r="CX354" s="33"/>
      <c r="CY354" s="33"/>
      <c r="CZ354" s="33"/>
      <c r="DA354" s="33"/>
      <c r="DB354" s="33"/>
      <c r="DC354" s="33"/>
      <c r="DD354" s="33"/>
      <c r="DE354" s="33"/>
      <c r="DF354" s="33"/>
      <c r="DG354" s="33"/>
      <c r="DH354" s="33"/>
      <c r="DI354" s="33"/>
      <c r="DJ354" s="33"/>
      <c r="DK354" s="33"/>
      <c r="DL354" s="33"/>
      <c r="DM354" s="33"/>
    </row>
    <row r="355" spans="93:117">
      <c r="CO355" s="33"/>
      <c r="CP355" s="33"/>
      <c r="CQ355" s="33"/>
      <c r="CR355" s="33"/>
      <c r="CS355" s="33"/>
      <c r="CT355" s="33"/>
      <c r="CU355" s="33"/>
      <c r="CV355" s="33"/>
      <c r="CW355" s="33"/>
      <c r="CX355" s="33"/>
      <c r="CY355" s="33"/>
      <c r="CZ355" s="33"/>
      <c r="DA355" s="33"/>
      <c r="DB355" s="33"/>
      <c r="DC355" s="33"/>
      <c r="DD355" s="33"/>
      <c r="DE355" s="33"/>
      <c r="DF355" s="33"/>
      <c r="DG355" s="33"/>
      <c r="DH355" s="33"/>
      <c r="DI355" s="33"/>
      <c r="DJ355" s="33"/>
      <c r="DK355" s="33"/>
      <c r="DL355" s="33"/>
      <c r="DM355" s="33"/>
    </row>
    <row r="356" spans="93:117">
      <c r="CO356" s="33"/>
      <c r="CP356" s="33"/>
      <c r="CQ356" s="33"/>
      <c r="CR356" s="33"/>
      <c r="CS356" s="33"/>
      <c r="CT356" s="33"/>
      <c r="CU356" s="33"/>
      <c r="CV356" s="33"/>
      <c r="CW356" s="33"/>
      <c r="CX356" s="33"/>
      <c r="CY356" s="33"/>
      <c r="CZ356" s="33"/>
      <c r="DA356" s="33"/>
      <c r="DB356" s="33"/>
      <c r="DC356" s="33"/>
      <c r="DD356" s="33"/>
      <c r="DE356" s="33"/>
      <c r="DF356" s="33"/>
      <c r="DG356" s="33"/>
      <c r="DH356" s="33"/>
      <c r="DI356" s="33"/>
      <c r="DJ356" s="33"/>
      <c r="DK356" s="33"/>
      <c r="DL356" s="33"/>
      <c r="DM356" s="33"/>
    </row>
    <row r="357" spans="93:117">
      <c r="CO357" s="33"/>
      <c r="CP357" s="33"/>
      <c r="CQ357" s="33"/>
      <c r="CR357" s="33"/>
      <c r="CS357" s="33"/>
      <c r="CT357" s="33"/>
      <c r="CU357" s="33"/>
      <c r="CV357" s="33"/>
      <c r="CW357" s="33"/>
      <c r="CX357" s="33"/>
      <c r="CY357" s="33"/>
      <c r="CZ357" s="33"/>
      <c r="DA357" s="33"/>
      <c r="DB357" s="33"/>
      <c r="DC357" s="33"/>
      <c r="DD357" s="33"/>
      <c r="DE357" s="33"/>
      <c r="DF357" s="33"/>
      <c r="DG357" s="33"/>
      <c r="DH357" s="33"/>
      <c r="DI357" s="33"/>
      <c r="DJ357" s="33"/>
      <c r="DK357" s="33"/>
      <c r="DL357" s="33"/>
      <c r="DM357" s="33"/>
    </row>
    <row r="358" spans="93:117">
      <c r="CO358" s="33"/>
      <c r="CP358" s="33"/>
      <c r="CQ358" s="33"/>
      <c r="CR358" s="33"/>
      <c r="CS358" s="33"/>
      <c r="CT358" s="33"/>
      <c r="CU358" s="33"/>
      <c r="CV358" s="33"/>
      <c r="CW358" s="33"/>
      <c r="CX358" s="33"/>
      <c r="CY358" s="33"/>
      <c r="CZ358" s="33"/>
      <c r="DA358" s="33"/>
      <c r="DB358" s="33"/>
      <c r="DC358" s="33"/>
      <c r="DD358" s="33"/>
      <c r="DE358" s="33"/>
      <c r="DF358" s="33"/>
      <c r="DG358" s="33"/>
      <c r="DH358" s="33"/>
      <c r="DI358" s="33"/>
      <c r="DJ358" s="33"/>
      <c r="DK358" s="33"/>
      <c r="DL358" s="33"/>
      <c r="DM358" s="33"/>
    </row>
    <row r="359" spans="93:117">
      <c r="CO359" s="33"/>
      <c r="CP359" s="33"/>
      <c r="CQ359" s="33"/>
      <c r="CR359" s="33"/>
      <c r="CS359" s="33"/>
      <c r="CT359" s="33"/>
      <c r="CU359" s="33"/>
      <c r="CV359" s="33"/>
      <c r="CW359" s="33"/>
      <c r="CX359" s="33"/>
      <c r="CY359" s="33"/>
      <c r="CZ359" s="33"/>
      <c r="DA359" s="33"/>
      <c r="DB359" s="33"/>
      <c r="DC359" s="33"/>
      <c r="DD359" s="33"/>
      <c r="DE359" s="33"/>
      <c r="DF359" s="33"/>
      <c r="DG359" s="33"/>
      <c r="DH359" s="33"/>
      <c r="DI359" s="33"/>
      <c r="DJ359" s="33"/>
      <c r="DK359" s="33"/>
      <c r="DL359" s="33"/>
      <c r="DM359" s="33"/>
    </row>
    <row r="360" spans="93:117">
      <c r="CO360" s="33"/>
      <c r="CP360" s="33"/>
      <c r="CQ360" s="33"/>
      <c r="CR360" s="33"/>
      <c r="CS360" s="33"/>
      <c r="CT360" s="33"/>
      <c r="CU360" s="33"/>
      <c r="CV360" s="33"/>
      <c r="CW360" s="33"/>
      <c r="CX360" s="33"/>
      <c r="CY360" s="33"/>
      <c r="CZ360" s="33"/>
      <c r="DA360" s="33"/>
      <c r="DB360" s="33"/>
      <c r="DC360" s="33"/>
      <c r="DD360" s="33"/>
      <c r="DE360" s="33"/>
      <c r="DF360" s="33"/>
      <c r="DG360" s="33"/>
      <c r="DH360" s="33"/>
      <c r="DI360" s="33"/>
      <c r="DJ360" s="33"/>
      <c r="DK360" s="33"/>
      <c r="DL360" s="33"/>
      <c r="DM360" s="33"/>
    </row>
    <row r="361" spans="93:117">
      <c r="CO361" s="33"/>
      <c r="CP361" s="33"/>
      <c r="CQ361" s="33"/>
      <c r="CR361" s="33"/>
      <c r="CS361" s="33"/>
      <c r="CT361" s="33"/>
      <c r="CU361" s="33"/>
      <c r="CV361" s="33"/>
      <c r="CW361" s="33"/>
      <c r="CX361" s="33"/>
      <c r="CY361" s="33"/>
      <c r="CZ361" s="33"/>
      <c r="DA361" s="33"/>
      <c r="DB361" s="33"/>
      <c r="DC361" s="33"/>
      <c r="DD361" s="33"/>
      <c r="DE361" s="33"/>
      <c r="DF361" s="33"/>
      <c r="DG361" s="33"/>
      <c r="DH361" s="33"/>
      <c r="DI361" s="33"/>
      <c r="DJ361" s="33"/>
      <c r="DK361" s="33"/>
      <c r="DL361" s="33"/>
      <c r="DM361" s="33"/>
    </row>
    <row r="362" spans="93:117">
      <c r="CO362" s="33"/>
      <c r="CP362" s="33"/>
      <c r="CQ362" s="33"/>
      <c r="CR362" s="33"/>
      <c r="CS362" s="33"/>
      <c r="CT362" s="33"/>
      <c r="CU362" s="33"/>
      <c r="CV362" s="33"/>
      <c r="CW362" s="33"/>
      <c r="CX362" s="33"/>
      <c r="CY362" s="33"/>
      <c r="CZ362" s="33"/>
      <c r="DA362" s="33"/>
      <c r="DB362" s="33"/>
      <c r="DC362" s="33"/>
      <c r="DD362" s="33"/>
      <c r="DE362" s="33"/>
      <c r="DF362" s="33"/>
      <c r="DG362" s="33"/>
      <c r="DH362" s="33"/>
      <c r="DI362" s="33"/>
      <c r="DJ362" s="33"/>
      <c r="DK362" s="33"/>
      <c r="DL362" s="33"/>
      <c r="DM362" s="33"/>
    </row>
    <row r="363" spans="93:117">
      <c r="CO363" s="33"/>
      <c r="CP363" s="33"/>
      <c r="CQ363" s="33"/>
      <c r="CR363" s="33"/>
      <c r="CS363" s="33"/>
      <c r="CT363" s="33"/>
      <c r="CU363" s="33"/>
      <c r="CV363" s="33"/>
      <c r="CW363" s="33"/>
      <c r="CX363" s="33"/>
      <c r="CY363" s="33"/>
      <c r="CZ363" s="33"/>
      <c r="DA363" s="33"/>
      <c r="DB363" s="33"/>
      <c r="DC363" s="33"/>
      <c r="DD363" s="33"/>
      <c r="DE363" s="33"/>
      <c r="DF363" s="33"/>
      <c r="DG363" s="33"/>
      <c r="DH363" s="33"/>
      <c r="DI363" s="33"/>
      <c r="DJ363" s="33"/>
      <c r="DK363" s="33"/>
      <c r="DL363" s="33"/>
      <c r="DM363" s="33"/>
    </row>
    <row r="364" spans="93:117">
      <c r="CO364" s="33"/>
      <c r="CP364" s="33"/>
      <c r="CQ364" s="33"/>
      <c r="CR364" s="33"/>
      <c r="CS364" s="33"/>
      <c r="CT364" s="33"/>
      <c r="CU364" s="33"/>
      <c r="CV364" s="33"/>
      <c r="CW364" s="33"/>
      <c r="CX364" s="33"/>
      <c r="CY364" s="33"/>
      <c r="CZ364" s="33"/>
      <c r="DA364" s="33"/>
      <c r="DB364" s="33"/>
      <c r="DC364" s="33"/>
      <c r="DD364" s="33"/>
      <c r="DE364" s="33"/>
      <c r="DF364" s="33"/>
      <c r="DG364" s="33"/>
      <c r="DH364" s="33"/>
      <c r="DI364" s="33"/>
      <c r="DJ364" s="33"/>
      <c r="DK364" s="33"/>
      <c r="DL364" s="33"/>
      <c r="DM364" s="33"/>
    </row>
    <row r="365" spans="93:117">
      <c r="CO365" s="33"/>
      <c r="CP365" s="33"/>
      <c r="CQ365" s="33"/>
      <c r="CR365" s="33"/>
      <c r="CS365" s="33"/>
      <c r="CT365" s="33"/>
      <c r="CU365" s="33"/>
      <c r="CV365" s="33"/>
      <c r="CW365" s="33"/>
      <c r="CX365" s="33"/>
      <c r="CY365" s="33"/>
      <c r="CZ365" s="33"/>
      <c r="DA365" s="33"/>
      <c r="DB365" s="33"/>
      <c r="DC365" s="33"/>
      <c r="DD365" s="33"/>
      <c r="DE365" s="33"/>
      <c r="DF365" s="33"/>
      <c r="DG365" s="33"/>
      <c r="DH365" s="33"/>
      <c r="DI365" s="33"/>
      <c r="DJ365" s="33"/>
      <c r="DK365" s="33"/>
      <c r="DL365" s="33"/>
      <c r="DM365" s="33"/>
    </row>
    <row r="366" spans="93:117">
      <c r="CO366" s="33"/>
      <c r="CP366" s="33"/>
      <c r="CQ366" s="33"/>
      <c r="CR366" s="33"/>
      <c r="CS366" s="33"/>
      <c r="CT366" s="33"/>
      <c r="CU366" s="33"/>
      <c r="CV366" s="33"/>
      <c r="CW366" s="33"/>
      <c r="CX366" s="33"/>
      <c r="CY366" s="33"/>
      <c r="CZ366" s="33"/>
      <c r="DA366" s="33"/>
      <c r="DB366" s="33"/>
      <c r="DC366" s="33"/>
      <c r="DD366" s="33"/>
      <c r="DE366" s="33"/>
      <c r="DF366" s="33"/>
      <c r="DG366" s="33"/>
      <c r="DH366" s="33"/>
      <c r="DI366" s="33"/>
      <c r="DJ366" s="33"/>
      <c r="DK366" s="33"/>
      <c r="DL366" s="33"/>
      <c r="DM366" s="33"/>
    </row>
    <row r="367" spans="93:117">
      <c r="CO367" s="33"/>
      <c r="CP367" s="33"/>
      <c r="CQ367" s="33"/>
      <c r="CR367" s="33"/>
      <c r="CS367" s="33"/>
      <c r="CT367" s="33"/>
      <c r="CU367" s="33"/>
      <c r="CV367" s="33"/>
      <c r="CW367" s="33"/>
      <c r="CX367" s="33"/>
      <c r="CY367" s="33"/>
      <c r="CZ367" s="33"/>
      <c r="DA367" s="33"/>
      <c r="DB367" s="33"/>
      <c r="DC367" s="33"/>
      <c r="DD367" s="33"/>
      <c r="DE367" s="33"/>
      <c r="DF367" s="33"/>
      <c r="DG367" s="33"/>
      <c r="DH367" s="33"/>
      <c r="DI367" s="33"/>
      <c r="DJ367" s="33"/>
      <c r="DK367" s="33"/>
      <c r="DL367" s="33"/>
      <c r="DM367" s="33"/>
    </row>
    <row r="368" spans="93:117">
      <c r="CO368" s="33"/>
      <c r="CP368" s="33"/>
      <c r="CQ368" s="33"/>
      <c r="CR368" s="33"/>
      <c r="CS368" s="33"/>
      <c r="CT368" s="33"/>
      <c r="CU368" s="33"/>
      <c r="CV368" s="33"/>
      <c r="CW368" s="33"/>
      <c r="CX368" s="33"/>
      <c r="CY368" s="33"/>
      <c r="CZ368" s="33"/>
      <c r="DA368" s="33"/>
      <c r="DB368" s="33"/>
      <c r="DC368" s="33"/>
      <c r="DD368" s="33"/>
      <c r="DE368" s="33"/>
      <c r="DF368" s="33"/>
      <c r="DG368" s="33"/>
      <c r="DH368" s="33"/>
      <c r="DI368" s="33"/>
      <c r="DJ368" s="33"/>
      <c r="DK368" s="33"/>
      <c r="DL368" s="33"/>
      <c r="DM368" s="33"/>
    </row>
    <row r="369" spans="93:117">
      <c r="CO369" s="33"/>
      <c r="CP369" s="33"/>
      <c r="CQ369" s="33"/>
      <c r="CR369" s="33"/>
      <c r="CS369" s="33"/>
      <c r="CT369" s="33"/>
      <c r="CU369" s="33"/>
      <c r="CV369" s="33"/>
      <c r="CW369" s="33"/>
      <c r="CX369" s="33"/>
      <c r="CY369" s="33"/>
      <c r="CZ369" s="33"/>
      <c r="DA369" s="33"/>
      <c r="DB369" s="33"/>
      <c r="DC369" s="33"/>
      <c r="DD369" s="33"/>
      <c r="DE369" s="33"/>
      <c r="DF369" s="33"/>
      <c r="DG369" s="33"/>
      <c r="DH369" s="33"/>
      <c r="DI369" s="33"/>
      <c r="DJ369" s="33"/>
      <c r="DK369" s="33"/>
      <c r="DL369" s="33"/>
      <c r="DM369" s="33"/>
    </row>
    <row r="370" spans="93:117">
      <c r="CO370" s="33"/>
      <c r="CP370" s="33"/>
      <c r="CQ370" s="33"/>
      <c r="CR370" s="33"/>
      <c r="CS370" s="33"/>
      <c r="CT370" s="33"/>
      <c r="CU370" s="33"/>
      <c r="CV370" s="33"/>
      <c r="CW370" s="33"/>
      <c r="CX370" s="33"/>
      <c r="CY370" s="33"/>
      <c r="CZ370" s="33"/>
      <c r="DA370" s="33"/>
      <c r="DB370" s="33"/>
      <c r="DC370" s="33"/>
      <c r="DD370" s="33"/>
      <c r="DE370" s="33"/>
      <c r="DF370" s="33"/>
      <c r="DG370" s="33"/>
      <c r="DH370" s="33"/>
      <c r="DI370" s="33"/>
      <c r="DJ370" s="33"/>
      <c r="DK370" s="33"/>
      <c r="DL370" s="33"/>
      <c r="DM370" s="33"/>
    </row>
    <row r="371" spans="93:117">
      <c r="CO371" s="33"/>
      <c r="CP371" s="33"/>
      <c r="CQ371" s="33"/>
      <c r="CR371" s="33"/>
      <c r="CS371" s="33"/>
      <c r="CT371" s="33"/>
      <c r="CU371" s="33"/>
      <c r="CV371" s="33"/>
      <c r="CW371" s="33"/>
      <c r="CX371" s="33"/>
      <c r="CY371" s="33"/>
      <c r="CZ371" s="33"/>
      <c r="DA371" s="33"/>
      <c r="DB371" s="33"/>
      <c r="DC371" s="33"/>
      <c r="DD371" s="33"/>
      <c r="DE371" s="33"/>
      <c r="DF371" s="33"/>
      <c r="DG371" s="33"/>
      <c r="DH371" s="33"/>
      <c r="DI371" s="33"/>
      <c r="DJ371" s="33"/>
      <c r="DK371" s="33"/>
      <c r="DL371" s="33"/>
      <c r="DM371" s="33"/>
    </row>
    <row r="372" spans="93:117">
      <c r="CO372" s="33"/>
      <c r="CP372" s="33"/>
      <c r="CQ372" s="33"/>
      <c r="CR372" s="33"/>
      <c r="CS372" s="33"/>
      <c r="CT372" s="33"/>
      <c r="CU372" s="33"/>
      <c r="CV372" s="33"/>
      <c r="CW372" s="33"/>
      <c r="CX372" s="33"/>
      <c r="CY372" s="33"/>
      <c r="CZ372" s="33"/>
      <c r="DA372" s="33"/>
      <c r="DB372" s="33"/>
      <c r="DC372" s="33"/>
      <c r="DD372" s="33"/>
      <c r="DE372" s="33"/>
      <c r="DF372" s="33"/>
      <c r="DG372" s="33"/>
      <c r="DH372" s="33"/>
      <c r="DI372" s="33"/>
      <c r="DJ372" s="33"/>
      <c r="DK372" s="33"/>
      <c r="DL372" s="33"/>
      <c r="DM372" s="33"/>
    </row>
    <row r="373" spans="93:117">
      <c r="CO373" s="33"/>
      <c r="CP373" s="33"/>
      <c r="CQ373" s="33"/>
      <c r="CR373" s="33"/>
      <c r="CS373" s="33"/>
      <c r="CT373" s="33"/>
      <c r="CU373" s="33"/>
      <c r="CV373" s="33"/>
      <c r="CW373" s="33"/>
      <c r="CX373" s="33"/>
      <c r="CY373" s="33"/>
      <c r="CZ373" s="33"/>
      <c r="DA373" s="33"/>
      <c r="DB373" s="33"/>
      <c r="DC373" s="33"/>
      <c r="DD373" s="33"/>
      <c r="DE373" s="33"/>
      <c r="DF373" s="33"/>
      <c r="DG373" s="33"/>
      <c r="DH373" s="33"/>
      <c r="DI373" s="33"/>
      <c r="DJ373" s="33"/>
      <c r="DK373" s="33"/>
      <c r="DL373" s="33"/>
      <c r="DM373" s="33"/>
    </row>
    <row r="374" spans="93:117">
      <c r="CO374" s="33"/>
      <c r="CP374" s="33"/>
      <c r="CQ374" s="33"/>
      <c r="CR374" s="33"/>
      <c r="CS374" s="33"/>
      <c r="CT374" s="33"/>
      <c r="CU374" s="33"/>
      <c r="CV374" s="33"/>
      <c r="CW374" s="33"/>
      <c r="CX374" s="33"/>
      <c r="CY374" s="33"/>
      <c r="CZ374" s="33"/>
      <c r="DA374" s="33"/>
      <c r="DB374" s="33"/>
      <c r="DC374" s="33"/>
      <c r="DD374" s="33"/>
      <c r="DE374" s="33"/>
      <c r="DF374" s="33"/>
      <c r="DG374" s="33"/>
      <c r="DH374" s="33"/>
      <c r="DI374" s="33"/>
      <c r="DJ374" s="33"/>
      <c r="DK374" s="33"/>
      <c r="DL374" s="33"/>
      <c r="DM374" s="33"/>
    </row>
    <row r="375" spans="93:117">
      <c r="CO375" s="33"/>
      <c r="CP375" s="33"/>
      <c r="CQ375" s="33"/>
      <c r="CR375" s="33"/>
      <c r="CS375" s="33"/>
      <c r="CT375" s="33"/>
      <c r="CU375" s="33"/>
      <c r="CV375" s="33"/>
      <c r="CW375" s="33"/>
      <c r="CX375" s="33"/>
      <c r="CY375" s="33"/>
      <c r="CZ375" s="33"/>
      <c r="DA375" s="33"/>
      <c r="DB375" s="33"/>
      <c r="DC375" s="33"/>
      <c r="DD375" s="33"/>
      <c r="DE375" s="33"/>
      <c r="DF375" s="33"/>
      <c r="DG375" s="33"/>
      <c r="DH375" s="33"/>
      <c r="DI375" s="33"/>
      <c r="DJ375" s="33"/>
      <c r="DK375" s="33"/>
      <c r="DL375" s="33"/>
      <c r="DM375" s="33"/>
    </row>
    <row r="376" spans="93:117">
      <c r="CO376" s="33"/>
      <c r="CP376" s="33"/>
      <c r="CQ376" s="33"/>
      <c r="CR376" s="33"/>
      <c r="CS376" s="33"/>
      <c r="CT376" s="33"/>
      <c r="CU376" s="33"/>
      <c r="CV376" s="33"/>
      <c r="CW376" s="33"/>
      <c r="CX376" s="33"/>
      <c r="CY376" s="33"/>
      <c r="CZ376" s="33"/>
      <c r="DA376" s="33"/>
      <c r="DB376" s="33"/>
      <c r="DC376" s="33"/>
      <c r="DD376" s="33"/>
      <c r="DE376" s="33"/>
      <c r="DF376" s="33"/>
      <c r="DG376" s="33"/>
      <c r="DH376" s="33"/>
      <c r="DI376" s="33"/>
      <c r="DJ376" s="33"/>
      <c r="DK376" s="33"/>
      <c r="DL376" s="33"/>
      <c r="DM376" s="33"/>
    </row>
    <row r="377" spans="93:117">
      <c r="CO377" s="33"/>
      <c r="CP377" s="33"/>
      <c r="CQ377" s="33"/>
      <c r="CR377" s="33"/>
      <c r="CS377" s="33"/>
      <c r="CT377" s="33"/>
      <c r="CU377" s="33"/>
      <c r="CV377" s="33"/>
      <c r="CW377" s="33"/>
      <c r="CX377" s="33"/>
      <c r="CY377" s="33"/>
      <c r="CZ377" s="33"/>
      <c r="DA377" s="33"/>
      <c r="DB377" s="33"/>
      <c r="DC377" s="33"/>
      <c r="DD377" s="33"/>
      <c r="DE377" s="33"/>
      <c r="DF377" s="33"/>
      <c r="DG377" s="33"/>
      <c r="DH377" s="33"/>
      <c r="DI377" s="33"/>
      <c r="DJ377" s="33"/>
      <c r="DK377" s="33"/>
      <c r="DL377" s="33"/>
      <c r="DM377" s="33"/>
    </row>
    <row r="378" spans="93:117">
      <c r="CO378" s="33"/>
      <c r="CP378" s="33"/>
      <c r="CQ378" s="33"/>
      <c r="CR378" s="33"/>
      <c r="CS378" s="33"/>
      <c r="CT378" s="33"/>
      <c r="CU378" s="33"/>
      <c r="CV378" s="33"/>
      <c r="CW378" s="33"/>
      <c r="CX378" s="33"/>
      <c r="CY378" s="33"/>
      <c r="CZ378" s="33"/>
      <c r="DA378" s="33"/>
      <c r="DB378" s="33"/>
      <c r="DC378" s="33"/>
      <c r="DD378" s="33"/>
      <c r="DE378" s="33"/>
      <c r="DF378" s="33"/>
      <c r="DG378" s="33"/>
      <c r="DH378" s="33"/>
      <c r="DI378" s="33"/>
      <c r="DJ378" s="33"/>
      <c r="DK378" s="33"/>
      <c r="DL378" s="33"/>
      <c r="DM378" s="33"/>
    </row>
    <row r="379" spans="93:117">
      <c r="CO379" s="33"/>
      <c r="CP379" s="33"/>
      <c r="CQ379" s="33"/>
      <c r="CR379" s="33"/>
      <c r="CS379" s="33"/>
      <c r="CT379" s="33"/>
      <c r="CU379" s="33"/>
      <c r="CV379" s="33"/>
      <c r="CW379" s="33"/>
      <c r="CX379" s="33"/>
      <c r="CY379" s="33"/>
      <c r="CZ379" s="33"/>
      <c r="DA379" s="33"/>
      <c r="DB379" s="33"/>
      <c r="DC379" s="33"/>
      <c r="DD379" s="33"/>
      <c r="DE379" s="33"/>
      <c r="DF379" s="33"/>
      <c r="DG379" s="33"/>
      <c r="DH379" s="33"/>
      <c r="DI379" s="33"/>
      <c r="DJ379" s="33"/>
      <c r="DK379" s="33"/>
      <c r="DL379" s="33"/>
      <c r="DM379" s="33"/>
    </row>
    <row r="380" spans="93:117">
      <c r="CO380" s="33"/>
      <c r="CP380" s="33"/>
      <c r="CQ380" s="33"/>
      <c r="CR380" s="33"/>
      <c r="CS380" s="33"/>
      <c r="CT380" s="33"/>
      <c r="CU380" s="33"/>
      <c r="CV380" s="33"/>
      <c r="CW380" s="33"/>
      <c r="CX380" s="33"/>
      <c r="CY380" s="33"/>
      <c r="CZ380" s="33"/>
      <c r="DA380" s="33"/>
      <c r="DB380" s="33"/>
      <c r="DC380" s="33"/>
      <c r="DD380" s="33"/>
      <c r="DE380" s="33"/>
      <c r="DF380" s="33"/>
      <c r="DG380" s="33"/>
      <c r="DH380" s="33"/>
      <c r="DI380" s="33"/>
      <c r="DJ380" s="33"/>
      <c r="DK380" s="33"/>
      <c r="DL380" s="33"/>
      <c r="DM380" s="33"/>
    </row>
    <row r="381" spans="93:117">
      <c r="CO381" s="33"/>
      <c r="CP381" s="33"/>
      <c r="CQ381" s="33"/>
      <c r="CR381" s="33"/>
      <c r="CS381" s="33"/>
      <c r="CT381" s="33"/>
      <c r="CU381" s="33"/>
      <c r="CV381" s="33"/>
      <c r="CW381" s="33"/>
      <c r="CX381" s="33"/>
      <c r="CY381" s="33"/>
      <c r="CZ381" s="33"/>
      <c r="DA381" s="33"/>
      <c r="DB381" s="33"/>
      <c r="DC381" s="33"/>
      <c r="DD381" s="33"/>
      <c r="DE381" s="33"/>
      <c r="DF381" s="33"/>
      <c r="DG381" s="33"/>
      <c r="DH381" s="33"/>
      <c r="DI381" s="33"/>
      <c r="DJ381" s="33"/>
      <c r="DK381" s="33"/>
      <c r="DL381" s="33"/>
      <c r="DM381" s="33"/>
    </row>
    <row r="382" spans="93:117">
      <c r="CO382" s="33"/>
      <c r="CP382" s="33"/>
      <c r="CQ382" s="33"/>
      <c r="CR382" s="33"/>
      <c r="CS382" s="33"/>
      <c r="CT382" s="33"/>
      <c r="CU382" s="33"/>
      <c r="CV382" s="33"/>
      <c r="CW382" s="33"/>
      <c r="CX382" s="33"/>
      <c r="CY382" s="33"/>
      <c r="CZ382" s="33"/>
      <c r="DA382" s="33"/>
      <c r="DB382" s="33"/>
      <c r="DC382" s="33"/>
      <c r="DD382" s="33"/>
      <c r="DE382" s="33"/>
      <c r="DF382" s="33"/>
      <c r="DG382" s="33"/>
      <c r="DH382" s="33"/>
      <c r="DI382" s="33"/>
      <c r="DJ382" s="33"/>
      <c r="DK382" s="33"/>
      <c r="DL382" s="33"/>
      <c r="DM382" s="33"/>
    </row>
    <row r="383" spans="93:117">
      <c r="CO383" s="33"/>
      <c r="CP383" s="33"/>
      <c r="CQ383" s="33"/>
      <c r="CR383" s="33"/>
      <c r="CS383" s="33"/>
      <c r="CT383" s="33"/>
      <c r="CU383" s="33"/>
      <c r="CV383" s="33"/>
      <c r="CW383" s="33"/>
      <c r="CX383" s="33"/>
      <c r="CY383" s="33"/>
      <c r="CZ383" s="33"/>
      <c r="DA383" s="33"/>
      <c r="DB383" s="33"/>
      <c r="DC383" s="33"/>
      <c r="DD383" s="33"/>
      <c r="DE383" s="33"/>
      <c r="DF383" s="33"/>
      <c r="DG383" s="33"/>
      <c r="DH383" s="33"/>
      <c r="DI383" s="33"/>
      <c r="DJ383" s="33"/>
      <c r="DK383" s="33"/>
      <c r="DL383" s="33"/>
      <c r="DM383" s="33"/>
    </row>
    <row r="384" spans="93:117">
      <c r="CO384" s="33"/>
      <c r="CP384" s="33"/>
      <c r="CQ384" s="33"/>
      <c r="CR384" s="33"/>
      <c r="CS384" s="33"/>
      <c r="CT384" s="33"/>
      <c r="CU384" s="33"/>
      <c r="CV384" s="33"/>
      <c r="CW384" s="33"/>
      <c r="CX384" s="33"/>
      <c r="CY384" s="33"/>
      <c r="CZ384" s="33"/>
      <c r="DA384" s="33"/>
      <c r="DB384" s="33"/>
      <c r="DC384" s="33"/>
      <c r="DD384" s="33"/>
      <c r="DE384" s="33"/>
      <c r="DF384" s="33"/>
      <c r="DG384" s="33"/>
      <c r="DH384" s="33"/>
      <c r="DI384" s="33"/>
      <c r="DJ384" s="33"/>
      <c r="DK384" s="33"/>
      <c r="DL384" s="33"/>
      <c r="DM384" s="33"/>
    </row>
    <row r="385" spans="93:117">
      <c r="CO385" s="33"/>
      <c r="CP385" s="33"/>
      <c r="CQ385" s="33"/>
      <c r="CR385" s="33"/>
      <c r="CS385" s="33"/>
      <c r="CT385" s="33"/>
      <c r="CU385" s="33"/>
      <c r="CV385" s="33"/>
      <c r="CW385" s="33"/>
      <c r="CX385" s="33"/>
      <c r="CY385" s="33"/>
      <c r="CZ385" s="33"/>
      <c r="DA385" s="33"/>
      <c r="DB385" s="33"/>
      <c r="DC385" s="33"/>
      <c r="DD385" s="33"/>
      <c r="DE385" s="33"/>
      <c r="DF385" s="33"/>
      <c r="DG385" s="33"/>
      <c r="DH385" s="33"/>
      <c r="DI385" s="33"/>
      <c r="DJ385" s="33"/>
      <c r="DK385" s="33"/>
      <c r="DL385" s="33"/>
      <c r="DM385" s="33"/>
    </row>
    <row r="386" spans="93:117">
      <c r="CO386" s="33"/>
      <c r="CP386" s="33"/>
      <c r="CQ386" s="33"/>
      <c r="CR386" s="33"/>
      <c r="CS386" s="33"/>
      <c r="CT386" s="33"/>
      <c r="CU386" s="33"/>
      <c r="CV386" s="33"/>
      <c r="CW386" s="33"/>
      <c r="CX386" s="33"/>
      <c r="CY386" s="33"/>
      <c r="CZ386" s="33"/>
      <c r="DA386" s="33"/>
      <c r="DB386" s="33"/>
      <c r="DC386" s="33"/>
      <c r="DD386" s="33"/>
      <c r="DE386" s="33"/>
      <c r="DF386" s="33"/>
      <c r="DG386" s="33"/>
      <c r="DH386" s="33"/>
      <c r="DI386" s="33"/>
      <c r="DJ386" s="33"/>
      <c r="DK386" s="33"/>
      <c r="DL386" s="33"/>
      <c r="DM386" s="33"/>
    </row>
    <row r="387" spans="93:117">
      <c r="CO387" s="33"/>
      <c r="CP387" s="33"/>
      <c r="CQ387" s="33"/>
      <c r="CR387" s="33"/>
      <c r="CS387" s="33"/>
      <c r="CT387" s="33"/>
      <c r="CU387" s="33"/>
      <c r="CV387" s="33"/>
      <c r="CW387" s="33"/>
      <c r="CX387" s="33"/>
      <c r="CY387" s="33"/>
      <c r="CZ387" s="33"/>
      <c r="DA387" s="33"/>
      <c r="DB387" s="33"/>
      <c r="DC387" s="33"/>
      <c r="DD387" s="33"/>
      <c r="DE387" s="33"/>
      <c r="DF387" s="33"/>
      <c r="DG387" s="33"/>
      <c r="DH387" s="33"/>
      <c r="DI387" s="33"/>
      <c r="DJ387" s="33"/>
      <c r="DK387" s="33"/>
      <c r="DL387" s="33"/>
      <c r="DM387" s="33"/>
    </row>
    <row r="388" spans="93:117">
      <c r="CO388" s="33"/>
      <c r="CP388" s="33"/>
      <c r="CQ388" s="33"/>
      <c r="CR388" s="33"/>
      <c r="CS388" s="33"/>
      <c r="CT388" s="33"/>
      <c r="CU388" s="33"/>
      <c r="CV388" s="33"/>
      <c r="CW388" s="33"/>
      <c r="CX388" s="33"/>
      <c r="CY388" s="33"/>
      <c r="CZ388" s="33"/>
      <c r="DA388" s="33"/>
      <c r="DB388" s="33"/>
      <c r="DC388" s="33"/>
      <c r="DD388" s="33"/>
      <c r="DE388" s="33"/>
      <c r="DF388" s="33"/>
      <c r="DG388" s="33"/>
      <c r="DH388" s="33"/>
      <c r="DI388" s="33"/>
      <c r="DJ388" s="33"/>
      <c r="DK388" s="33"/>
      <c r="DL388" s="33"/>
      <c r="DM388" s="33"/>
    </row>
  </sheetData>
  <sheetProtection sheet="1" objects="1" scenarios="1"/>
  <mergeCells count="83">
    <mergeCell ref="U92:U94"/>
    <mergeCell ref="U100:U101"/>
    <mergeCell ref="AB6:AE6"/>
    <mergeCell ref="AB9:AG9"/>
    <mergeCell ref="AJ50:AN50"/>
    <mergeCell ref="U64:U65"/>
    <mergeCell ref="U75:U76"/>
    <mergeCell ref="U77:U78"/>
    <mergeCell ref="U90:U91"/>
    <mergeCell ref="AI42:AI43"/>
    <mergeCell ref="AJ42:AN43"/>
    <mergeCell ref="AI37:AI39"/>
    <mergeCell ref="AJ37:AN39"/>
    <mergeCell ref="AJ21:AN21"/>
    <mergeCell ref="AI23:AI24"/>
    <mergeCell ref="AJ23:AN24"/>
    <mergeCell ref="AO42:AO43"/>
    <mergeCell ref="AP42:AP43"/>
    <mergeCell ref="U66:U67"/>
    <mergeCell ref="AI44:AI45"/>
    <mergeCell ref="AJ44:AN45"/>
    <mergeCell ref="AO44:AO45"/>
    <mergeCell ref="AP44:AP45"/>
    <mergeCell ref="AI46:AI47"/>
    <mergeCell ref="AJ46:AN47"/>
    <mergeCell ref="AO46:AO47"/>
    <mergeCell ref="AP46:AP47"/>
    <mergeCell ref="AJ48:AN48"/>
    <mergeCell ref="AJ49:AN49"/>
    <mergeCell ref="U50:U51"/>
    <mergeCell ref="AO37:AO39"/>
    <mergeCell ref="AP37:AP39"/>
    <mergeCell ref="AI40:AI41"/>
    <mergeCell ref="AJ40:AN41"/>
    <mergeCell ref="AO40:AO41"/>
    <mergeCell ref="AP40:AP41"/>
    <mergeCell ref="AO28:AO29"/>
    <mergeCell ref="AP28:AP29"/>
    <mergeCell ref="AI35:AI36"/>
    <mergeCell ref="AJ35:AN36"/>
    <mergeCell ref="AO35:AO36"/>
    <mergeCell ref="AP35:AP36"/>
    <mergeCell ref="AI32:AI34"/>
    <mergeCell ref="AJ32:AN34"/>
    <mergeCell ref="AO32:AO34"/>
    <mergeCell ref="AP32:AP34"/>
    <mergeCell ref="AO23:AO24"/>
    <mergeCell ref="AP23:AP24"/>
    <mergeCell ref="AI25:AI26"/>
    <mergeCell ref="AJ25:AN26"/>
    <mergeCell ref="AO25:AO26"/>
    <mergeCell ref="AP25:AP26"/>
    <mergeCell ref="AJ27:AN27"/>
    <mergeCell ref="AI28:AI29"/>
    <mergeCell ref="AJ28:AN29"/>
    <mergeCell ref="D17:I20"/>
    <mergeCell ref="AJ17:AN17"/>
    <mergeCell ref="AJ18:AN18"/>
    <mergeCell ref="AJ19:AN19"/>
    <mergeCell ref="AJ20:AN20"/>
    <mergeCell ref="AI13:AI14"/>
    <mergeCell ref="AJ13:AN14"/>
    <mergeCell ref="AO13:AO14"/>
    <mergeCell ref="AP13:AP14"/>
    <mergeCell ref="AI15:AI16"/>
    <mergeCell ref="AJ15:AN16"/>
    <mergeCell ref="AO15:AO16"/>
    <mergeCell ref="AP15:AP16"/>
    <mergeCell ref="AP4:AP5"/>
    <mergeCell ref="AI9:AI10"/>
    <mergeCell ref="AJ9:AN10"/>
    <mergeCell ref="AO9:AO10"/>
    <mergeCell ref="AP9:AP10"/>
    <mergeCell ref="AI6:AI8"/>
    <mergeCell ref="AJ6:AN8"/>
    <mergeCell ref="AO6:AO8"/>
    <mergeCell ref="AP6:AP8"/>
    <mergeCell ref="AA1:AB1"/>
    <mergeCell ref="AJ12:AN12"/>
    <mergeCell ref="AI4:AI5"/>
    <mergeCell ref="AJ4:AN5"/>
    <mergeCell ref="AO4:AO5"/>
    <mergeCell ref="AJ11:AN11"/>
  </mergeCells>
  <dataValidations count="14">
    <dataValidation allowBlank="1" showInputMessage="1" showErrorMessage="1" prompt="The 1.0 Sec. Mapped Spectral Response Acceleration value, S1, can be determined either from ASCE 7-05 Figures 22-1 through 22-14 on pages 210-227, or by using the earthquake Ground Motion Parameters Calculator downloaded from the USGS website." sqref="WVK98305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dataValidation allowBlank="1" showInputMessage="1" showErrorMessage="1" prompt="The 0.2 Sec. Mapped Spectral Response Acceleration value, Ss, can be determined either from ASCE 7-05 Figures 22-1 through 22-14 on pages 210-227, or by using the earthquake Ground Motion Parameters Calculator downloaded from the USGS website._x000a_" sqref="WVK98305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dataValidation allowBlank="1" showInputMessage="1" showErrorMessage="1" prompt="Location Zip Code can be used to determine Design Spectral Response Acceleration values, Ss and S1.  An earthquake Ground Motion Parameters Calculator may be downloaded from the USGS website at: _x000a_http://earthquake.usgs.gov/hazards/designmaps/javacalc.php" sqref="WVK98305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dataValidation type="list" allowBlank="1" showInputMessage="1" showErrorMessage="1"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formula1>$K$3:$K$6</formula1>
    </dataValidation>
    <dataValidation type="list" allowBlank="1" showInputMessage="1" showErrorMessage="1" prompt="Component Importance Factor, &quot;Ip&quot;, is either equal to 1.00 or 1.50, as determined in ASCE 7-05 Section 13.1.3." sqref="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formula1>$K$16:$K$17</formula1>
    </dataValidation>
    <dataValidation type="list" allowBlank="1" showInputMessage="1" showErrorMessage="1" errorTitle="Warning!" error="Invalid steel yield strength" sqref="J68:J75 JF68:JF75 TB68:TB75 ACX68:ACX75 AMT68:AMT75 AWP68:AWP75 BGL68:BGL75 BQH68:BQH75 CAD68:CAD75 CJZ68:CJZ75 CTV68:CTV75 DDR68:DDR75 DNN68:DNN75 DXJ68:DXJ75 EHF68:EHF75 ERB68:ERB75 FAX68:FAX75 FKT68:FKT75 FUP68:FUP75 GEL68:GEL75 GOH68:GOH75 GYD68:GYD75 HHZ68:HHZ75 HRV68:HRV75 IBR68:IBR75 ILN68:ILN75 IVJ68:IVJ75 JFF68:JFF75 JPB68:JPB75 JYX68:JYX75 KIT68:KIT75 KSP68:KSP75 LCL68:LCL75 LMH68:LMH75 LWD68:LWD75 MFZ68:MFZ75 MPV68:MPV75 MZR68:MZR75 NJN68:NJN75 NTJ68:NTJ75 ODF68:ODF75 ONB68:ONB75 OWX68:OWX75 PGT68:PGT75 PQP68:PQP75 QAL68:QAL75 QKH68:QKH75 QUD68:QUD75 RDZ68:RDZ75 RNV68:RNV75 RXR68:RXR75 SHN68:SHN75 SRJ68:SRJ75 TBF68:TBF75 TLB68:TLB75 TUX68:TUX75 UET68:UET75 UOP68:UOP75 UYL68:UYL75 VIH68:VIH75 VSD68:VSD75 WBZ68:WBZ75 WLV68:WLV75 WVR68:WVR75 J65604:J65611 JF65604:JF65611 TB65604:TB65611 ACX65604:ACX65611 AMT65604:AMT65611 AWP65604:AWP65611 BGL65604:BGL65611 BQH65604:BQH65611 CAD65604:CAD65611 CJZ65604:CJZ65611 CTV65604:CTV65611 DDR65604:DDR65611 DNN65604:DNN65611 DXJ65604:DXJ65611 EHF65604:EHF65611 ERB65604:ERB65611 FAX65604:FAX65611 FKT65604:FKT65611 FUP65604:FUP65611 GEL65604:GEL65611 GOH65604:GOH65611 GYD65604:GYD65611 HHZ65604:HHZ65611 HRV65604:HRV65611 IBR65604:IBR65611 ILN65604:ILN65611 IVJ65604:IVJ65611 JFF65604:JFF65611 JPB65604:JPB65611 JYX65604:JYX65611 KIT65604:KIT65611 KSP65604:KSP65611 LCL65604:LCL65611 LMH65604:LMH65611 LWD65604:LWD65611 MFZ65604:MFZ65611 MPV65604:MPV65611 MZR65604:MZR65611 NJN65604:NJN65611 NTJ65604:NTJ65611 ODF65604:ODF65611 ONB65604:ONB65611 OWX65604:OWX65611 PGT65604:PGT65611 PQP65604:PQP65611 QAL65604:QAL65611 QKH65604:QKH65611 QUD65604:QUD65611 RDZ65604:RDZ65611 RNV65604:RNV65611 RXR65604:RXR65611 SHN65604:SHN65611 SRJ65604:SRJ65611 TBF65604:TBF65611 TLB65604:TLB65611 TUX65604:TUX65611 UET65604:UET65611 UOP65604:UOP65611 UYL65604:UYL65611 VIH65604:VIH65611 VSD65604:VSD65611 WBZ65604:WBZ65611 WLV65604:WLV65611 WVR65604:WVR65611 J131140:J131147 JF131140:JF131147 TB131140:TB131147 ACX131140:ACX131147 AMT131140:AMT131147 AWP131140:AWP131147 BGL131140:BGL131147 BQH131140:BQH131147 CAD131140:CAD131147 CJZ131140:CJZ131147 CTV131140:CTV131147 DDR131140:DDR131147 DNN131140:DNN131147 DXJ131140:DXJ131147 EHF131140:EHF131147 ERB131140:ERB131147 FAX131140:FAX131147 FKT131140:FKT131147 FUP131140:FUP131147 GEL131140:GEL131147 GOH131140:GOH131147 GYD131140:GYD131147 HHZ131140:HHZ131147 HRV131140:HRV131147 IBR131140:IBR131147 ILN131140:ILN131147 IVJ131140:IVJ131147 JFF131140:JFF131147 JPB131140:JPB131147 JYX131140:JYX131147 KIT131140:KIT131147 KSP131140:KSP131147 LCL131140:LCL131147 LMH131140:LMH131147 LWD131140:LWD131147 MFZ131140:MFZ131147 MPV131140:MPV131147 MZR131140:MZR131147 NJN131140:NJN131147 NTJ131140:NTJ131147 ODF131140:ODF131147 ONB131140:ONB131147 OWX131140:OWX131147 PGT131140:PGT131147 PQP131140:PQP131147 QAL131140:QAL131147 QKH131140:QKH131147 QUD131140:QUD131147 RDZ131140:RDZ131147 RNV131140:RNV131147 RXR131140:RXR131147 SHN131140:SHN131147 SRJ131140:SRJ131147 TBF131140:TBF131147 TLB131140:TLB131147 TUX131140:TUX131147 UET131140:UET131147 UOP131140:UOP131147 UYL131140:UYL131147 VIH131140:VIH131147 VSD131140:VSD131147 WBZ131140:WBZ131147 WLV131140:WLV131147 WVR131140:WVR131147 J196676:J196683 JF196676:JF196683 TB196676:TB196683 ACX196676:ACX196683 AMT196676:AMT196683 AWP196676:AWP196683 BGL196676:BGL196683 BQH196676:BQH196683 CAD196676:CAD196683 CJZ196676:CJZ196683 CTV196676:CTV196683 DDR196676:DDR196683 DNN196676:DNN196683 DXJ196676:DXJ196683 EHF196676:EHF196683 ERB196676:ERB196683 FAX196676:FAX196683 FKT196676:FKT196683 FUP196676:FUP196683 GEL196676:GEL196683 GOH196676:GOH196683 GYD196676:GYD196683 HHZ196676:HHZ196683 HRV196676:HRV196683 IBR196676:IBR196683 ILN196676:ILN196683 IVJ196676:IVJ196683 JFF196676:JFF196683 JPB196676:JPB196683 JYX196676:JYX196683 KIT196676:KIT196683 KSP196676:KSP196683 LCL196676:LCL196683 LMH196676:LMH196683 LWD196676:LWD196683 MFZ196676:MFZ196683 MPV196676:MPV196683 MZR196676:MZR196683 NJN196676:NJN196683 NTJ196676:NTJ196683 ODF196676:ODF196683 ONB196676:ONB196683 OWX196676:OWX196683 PGT196676:PGT196683 PQP196676:PQP196683 QAL196676:QAL196683 QKH196676:QKH196683 QUD196676:QUD196683 RDZ196676:RDZ196683 RNV196676:RNV196683 RXR196676:RXR196683 SHN196676:SHN196683 SRJ196676:SRJ196683 TBF196676:TBF196683 TLB196676:TLB196683 TUX196676:TUX196683 UET196676:UET196683 UOP196676:UOP196683 UYL196676:UYL196683 VIH196676:VIH196683 VSD196676:VSD196683 WBZ196676:WBZ196683 WLV196676:WLV196683 WVR196676:WVR196683 J262212:J262219 JF262212:JF262219 TB262212:TB262219 ACX262212:ACX262219 AMT262212:AMT262219 AWP262212:AWP262219 BGL262212:BGL262219 BQH262212:BQH262219 CAD262212:CAD262219 CJZ262212:CJZ262219 CTV262212:CTV262219 DDR262212:DDR262219 DNN262212:DNN262219 DXJ262212:DXJ262219 EHF262212:EHF262219 ERB262212:ERB262219 FAX262212:FAX262219 FKT262212:FKT262219 FUP262212:FUP262219 GEL262212:GEL262219 GOH262212:GOH262219 GYD262212:GYD262219 HHZ262212:HHZ262219 HRV262212:HRV262219 IBR262212:IBR262219 ILN262212:ILN262219 IVJ262212:IVJ262219 JFF262212:JFF262219 JPB262212:JPB262219 JYX262212:JYX262219 KIT262212:KIT262219 KSP262212:KSP262219 LCL262212:LCL262219 LMH262212:LMH262219 LWD262212:LWD262219 MFZ262212:MFZ262219 MPV262212:MPV262219 MZR262212:MZR262219 NJN262212:NJN262219 NTJ262212:NTJ262219 ODF262212:ODF262219 ONB262212:ONB262219 OWX262212:OWX262219 PGT262212:PGT262219 PQP262212:PQP262219 QAL262212:QAL262219 QKH262212:QKH262219 QUD262212:QUD262219 RDZ262212:RDZ262219 RNV262212:RNV262219 RXR262212:RXR262219 SHN262212:SHN262219 SRJ262212:SRJ262219 TBF262212:TBF262219 TLB262212:TLB262219 TUX262212:TUX262219 UET262212:UET262219 UOP262212:UOP262219 UYL262212:UYL262219 VIH262212:VIH262219 VSD262212:VSD262219 WBZ262212:WBZ262219 WLV262212:WLV262219 WVR262212:WVR262219 J327748:J327755 JF327748:JF327755 TB327748:TB327755 ACX327748:ACX327755 AMT327748:AMT327755 AWP327748:AWP327755 BGL327748:BGL327755 BQH327748:BQH327755 CAD327748:CAD327755 CJZ327748:CJZ327755 CTV327748:CTV327755 DDR327748:DDR327755 DNN327748:DNN327755 DXJ327748:DXJ327755 EHF327748:EHF327755 ERB327748:ERB327755 FAX327748:FAX327755 FKT327748:FKT327755 FUP327748:FUP327755 GEL327748:GEL327755 GOH327748:GOH327755 GYD327748:GYD327755 HHZ327748:HHZ327755 HRV327748:HRV327755 IBR327748:IBR327755 ILN327748:ILN327755 IVJ327748:IVJ327755 JFF327748:JFF327755 JPB327748:JPB327755 JYX327748:JYX327755 KIT327748:KIT327755 KSP327748:KSP327755 LCL327748:LCL327755 LMH327748:LMH327755 LWD327748:LWD327755 MFZ327748:MFZ327755 MPV327748:MPV327755 MZR327748:MZR327755 NJN327748:NJN327755 NTJ327748:NTJ327755 ODF327748:ODF327755 ONB327748:ONB327755 OWX327748:OWX327755 PGT327748:PGT327755 PQP327748:PQP327755 QAL327748:QAL327755 QKH327748:QKH327755 QUD327748:QUD327755 RDZ327748:RDZ327755 RNV327748:RNV327755 RXR327748:RXR327755 SHN327748:SHN327755 SRJ327748:SRJ327755 TBF327748:TBF327755 TLB327748:TLB327755 TUX327748:TUX327755 UET327748:UET327755 UOP327748:UOP327755 UYL327748:UYL327755 VIH327748:VIH327755 VSD327748:VSD327755 WBZ327748:WBZ327755 WLV327748:WLV327755 WVR327748:WVR327755 J393284:J393291 JF393284:JF393291 TB393284:TB393291 ACX393284:ACX393291 AMT393284:AMT393291 AWP393284:AWP393291 BGL393284:BGL393291 BQH393284:BQH393291 CAD393284:CAD393291 CJZ393284:CJZ393291 CTV393284:CTV393291 DDR393284:DDR393291 DNN393284:DNN393291 DXJ393284:DXJ393291 EHF393284:EHF393291 ERB393284:ERB393291 FAX393284:FAX393291 FKT393284:FKT393291 FUP393284:FUP393291 GEL393284:GEL393291 GOH393284:GOH393291 GYD393284:GYD393291 HHZ393284:HHZ393291 HRV393284:HRV393291 IBR393284:IBR393291 ILN393284:ILN393291 IVJ393284:IVJ393291 JFF393284:JFF393291 JPB393284:JPB393291 JYX393284:JYX393291 KIT393284:KIT393291 KSP393284:KSP393291 LCL393284:LCL393291 LMH393284:LMH393291 LWD393284:LWD393291 MFZ393284:MFZ393291 MPV393284:MPV393291 MZR393284:MZR393291 NJN393284:NJN393291 NTJ393284:NTJ393291 ODF393284:ODF393291 ONB393284:ONB393291 OWX393284:OWX393291 PGT393284:PGT393291 PQP393284:PQP393291 QAL393284:QAL393291 QKH393284:QKH393291 QUD393284:QUD393291 RDZ393284:RDZ393291 RNV393284:RNV393291 RXR393284:RXR393291 SHN393284:SHN393291 SRJ393284:SRJ393291 TBF393284:TBF393291 TLB393284:TLB393291 TUX393284:TUX393291 UET393284:UET393291 UOP393284:UOP393291 UYL393284:UYL393291 VIH393284:VIH393291 VSD393284:VSD393291 WBZ393284:WBZ393291 WLV393284:WLV393291 WVR393284:WVR393291 J458820:J458827 JF458820:JF458827 TB458820:TB458827 ACX458820:ACX458827 AMT458820:AMT458827 AWP458820:AWP458827 BGL458820:BGL458827 BQH458820:BQH458827 CAD458820:CAD458827 CJZ458820:CJZ458827 CTV458820:CTV458827 DDR458820:DDR458827 DNN458820:DNN458827 DXJ458820:DXJ458827 EHF458820:EHF458827 ERB458820:ERB458827 FAX458820:FAX458827 FKT458820:FKT458827 FUP458820:FUP458827 GEL458820:GEL458827 GOH458820:GOH458827 GYD458820:GYD458827 HHZ458820:HHZ458827 HRV458820:HRV458827 IBR458820:IBR458827 ILN458820:ILN458827 IVJ458820:IVJ458827 JFF458820:JFF458827 JPB458820:JPB458827 JYX458820:JYX458827 KIT458820:KIT458827 KSP458820:KSP458827 LCL458820:LCL458827 LMH458820:LMH458827 LWD458820:LWD458827 MFZ458820:MFZ458827 MPV458820:MPV458827 MZR458820:MZR458827 NJN458820:NJN458827 NTJ458820:NTJ458827 ODF458820:ODF458827 ONB458820:ONB458827 OWX458820:OWX458827 PGT458820:PGT458827 PQP458820:PQP458827 QAL458820:QAL458827 QKH458820:QKH458827 QUD458820:QUD458827 RDZ458820:RDZ458827 RNV458820:RNV458827 RXR458820:RXR458827 SHN458820:SHN458827 SRJ458820:SRJ458827 TBF458820:TBF458827 TLB458820:TLB458827 TUX458820:TUX458827 UET458820:UET458827 UOP458820:UOP458827 UYL458820:UYL458827 VIH458820:VIH458827 VSD458820:VSD458827 WBZ458820:WBZ458827 WLV458820:WLV458827 WVR458820:WVR458827 J524356:J524363 JF524356:JF524363 TB524356:TB524363 ACX524356:ACX524363 AMT524356:AMT524363 AWP524356:AWP524363 BGL524356:BGL524363 BQH524356:BQH524363 CAD524356:CAD524363 CJZ524356:CJZ524363 CTV524356:CTV524363 DDR524356:DDR524363 DNN524356:DNN524363 DXJ524356:DXJ524363 EHF524356:EHF524363 ERB524356:ERB524363 FAX524356:FAX524363 FKT524356:FKT524363 FUP524356:FUP524363 GEL524356:GEL524363 GOH524356:GOH524363 GYD524356:GYD524363 HHZ524356:HHZ524363 HRV524356:HRV524363 IBR524356:IBR524363 ILN524356:ILN524363 IVJ524356:IVJ524363 JFF524356:JFF524363 JPB524356:JPB524363 JYX524356:JYX524363 KIT524356:KIT524363 KSP524356:KSP524363 LCL524356:LCL524363 LMH524356:LMH524363 LWD524356:LWD524363 MFZ524356:MFZ524363 MPV524356:MPV524363 MZR524356:MZR524363 NJN524356:NJN524363 NTJ524356:NTJ524363 ODF524356:ODF524363 ONB524356:ONB524363 OWX524356:OWX524363 PGT524356:PGT524363 PQP524356:PQP524363 QAL524356:QAL524363 QKH524356:QKH524363 QUD524356:QUD524363 RDZ524356:RDZ524363 RNV524356:RNV524363 RXR524356:RXR524363 SHN524356:SHN524363 SRJ524356:SRJ524363 TBF524356:TBF524363 TLB524356:TLB524363 TUX524356:TUX524363 UET524356:UET524363 UOP524356:UOP524363 UYL524356:UYL524363 VIH524356:VIH524363 VSD524356:VSD524363 WBZ524356:WBZ524363 WLV524356:WLV524363 WVR524356:WVR524363 J589892:J589899 JF589892:JF589899 TB589892:TB589899 ACX589892:ACX589899 AMT589892:AMT589899 AWP589892:AWP589899 BGL589892:BGL589899 BQH589892:BQH589899 CAD589892:CAD589899 CJZ589892:CJZ589899 CTV589892:CTV589899 DDR589892:DDR589899 DNN589892:DNN589899 DXJ589892:DXJ589899 EHF589892:EHF589899 ERB589892:ERB589899 FAX589892:FAX589899 FKT589892:FKT589899 FUP589892:FUP589899 GEL589892:GEL589899 GOH589892:GOH589899 GYD589892:GYD589899 HHZ589892:HHZ589899 HRV589892:HRV589899 IBR589892:IBR589899 ILN589892:ILN589899 IVJ589892:IVJ589899 JFF589892:JFF589899 JPB589892:JPB589899 JYX589892:JYX589899 KIT589892:KIT589899 KSP589892:KSP589899 LCL589892:LCL589899 LMH589892:LMH589899 LWD589892:LWD589899 MFZ589892:MFZ589899 MPV589892:MPV589899 MZR589892:MZR589899 NJN589892:NJN589899 NTJ589892:NTJ589899 ODF589892:ODF589899 ONB589892:ONB589899 OWX589892:OWX589899 PGT589892:PGT589899 PQP589892:PQP589899 QAL589892:QAL589899 QKH589892:QKH589899 QUD589892:QUD589899 RDZ589892:RDZ589899 RNV589892:RNV589899 RXR589892:RXR589899 SHN589892:SHN589899 SRJ589892:SRJ589899 TBF589892:TBF589899 TLB589892:TLB589899 TUX589892:TUX589899 UET589892:UET589899 UOP589892:UOP589899 UYL589892:UYL589899 VIH589892:VIH589899 VSD589892:VSD589899 WBZ589892:WBZ589899 WLV589892:WLV589899 WVR589892:WVR589899 J655428:J655435 JF655428:JF655435 TB655428:TB655435 ACX655428:ACX655435 AMT655428:AMT655435 AWP655428:AWP655435 BGL655428:BGL655435 BQH655428:BQH655435 CAD655428:CAD655435 CJZ655428:CJZ655435 CTV655428:CTV655435 DDR655428:DDR655435 DNN655428:DNN655435 DXJ655428:DXJ655435 EHF655428:EHF655435 ERB655428:ERB655435 FAX655428:FAX655435 FKT655428:FKT655435 FUP655428:FUP655435 GEL655428:GEL655435 GOH655428:GOH655435 GYD655428:GYD655435 HHZ655428:HHZ655435 HRV655428:HRV655435 IBR655428:IBR655435 ILN655428:ILN655435 IVJ655428:IVJ655435 JFF655428:JFF655435 JPB655428:JPB655435 JYX655428:JYX655435 KIT655428:KIT655435 KSP655428:KSP655435 LCL655428:LCL655435 LMH655428:LMH655435 LWD655428:LWD655435 MFZ655428:MFZ655435 MPV655428:MPV655435 MZR655428:MZR655435 NJN655428:NJN655435 NTJ655428:NTJ655435 ODF655428:ODF655435 ONB655428:ONB655435 OWX655428:OWX655435 PGT655428:PGT655435 PQP655428:PQP655435 QAL655428:QAL655435 QKH655428:QKH655435 QUD655428:QUD655435 RDZ655428:RDZ655435 RNV655428:RNV655435 RXR655428:RXR655435 SHN655428:SHN655435 SRJ655428:SRJ655435 TBF655428:TBF655435 TLB655428:TLB655435 TUX655428:TUX655435 UET655428:UET655435 UOP655428:UOP655435 UYL655428:UYL655435 VIH655428:VIH655435 VSD655428:VSD655435 WBZ655428:WBZ655435 WLV655428:WLV655435 WVR655428:WVR655435 J720964:J720971 JF720964:JF720971 TB720964:TB720971 ACX720964:ACX720971 AMT720964:AMT720971 AWP720964:AWP720971 BGL720964:BGL720971 BQH720964:BQH720971 CAD720964:CAD720971 CJZ720964:CJZ720971 CTV720964:CTV720971 DDR720964:DDR720971 DNN720964:DNN720971 DXJ720964:DXJ720971 EHF720964:EHF720971 ERB720964:ERB720971 FAX720964:FAX720971 FKT720964:FKT720971 FUP720964:FUP720971 GEL720964:GEL720971 GOH720964:GOH720971 GYD720964:GYD720971 HHZ720964:HHZ720971 HRV720964:HRV720971 IBR720964:IBR720971 ILN720964:ILN720971 IVJ720964:IVJ720971 JFF720964:JFF720971 JPB720964:JPB720971 JYX720964:JYX720971 KIT720964:KIT720971 KSP720964:KSP720971 LCL720964:LCL720971 LMH720964:LMH720971 LWD720964:LWD720971 MFZ720964:MFZ720971 MPV720964:MPV720971 MZR720964:MZR720971 NJN720964:NJN720971 NTJ720964:NTJ720971 ODF720964:ODF720971 ONB720964:ONB720971 OWX720964:OWX720971 PGT720964:PGT720971 PQP720964:PQP720971 QAL720964:QAL720971 QKH720964:QKH720971 QUD720964:QUD720971 RDZ720964:RDZ720971 RNV720964:RNV720971 RXR720964:RXR720971 SHN720964:SHN720971 SRJ720964:SRJ720971 TBF720964:TBF720971 TLB720964:TLB720971 TUX720964:TUX720971 UET720964:UET720971 UOP720964:UOP720971 UYL720964:UYL720971 VIH720964:VIH720971 VSD720964:VSD720971 WBZ720964:WBZ720971 WLV720964:WLV720971 WVR720964:WVR720971 J786500:J786507 JF786500:JF786507 TB786500:TB786507 ACX786500:ACX786507 AMT786500:AMT786507 AWP786500:AWP786507 BGL786500:BGL786507 BQH786500:BQH786507 CAD786500:CAD786507 CJZ786500:CJZ786507 CTV786500:CTV786507 DDR786500:DDR786507 DNN786500:DNN786507 DXJ786500:DXJ786507 EHF786500:EHF786507 ERB786500:ERB786507 FAX786500:FAX786507 FKT786500:FKT786507 FUP786500:FUP786507 GEL786500:GEL786507 GOH786500:GOH786507 GYD786500:GYD786507 HHZ786500:HHZ786507 HRV786500:HRV786507 IBR786500:IBR786507 ILN786500:ILN786507 IVJ786500:IVJ786507 JFF786500:JFF786507 JPB786500:JPB786507 JYX786500:JYX786507 KIT786500:KIT786507 KSP786500:KSP786507 LCL786500:LCL786507 LMH786500:LMH786507 LWD786500:LWD786507 MFZ786500:MFZ786507 MPV786500:MPV786507 MZR786500:MZR786507 NJN786500:NJN786507 NTJ786500:NTJ786507 ODF786500:ODF786507 ONB786500:ONB786507 OWX786500:OWX786507 PGT786500:PGT786507 PQP786500:PQP786507 QAL786500:QAL786507 QKH786500:QKH786507 QUD786500:QUD786507 RDZ786500:RDZ786507 RNV786500:RNV786507 RXR786500:RXR786507 SHN786500:SHN786507 SRJ786500:SRJ786507 TBF786500:TBF786507 TLB786500:TLB786507 TUX786500:TUX786507 UET786500:UET786507 UOP786500:UOP786507 UYL786500:UYL786507 VIH786500:VIH786507 VSD786500:VSD786507 WBZ786500:WBZ786507 WLV786500:WLV786507 WVR786500:WVR786507 J852036:J852043 JF852036:JF852043 TB852036:TB852043 ACX852036:ACX852043 AMT852036:AMT852043 AWP852036:AWP852043 BGL852036:BGL852043 BQH852036:BQH852043 CAD852036:CAD852043 CJZ852036:CJZ852043 CTV852036:CTV852043 DDR852036:DDR852043 DNN852036:DNN852043 DXJ852036:DXJ852043 EHF852036:EHF852043 ERB852036:ERB852043 FAX852036:FAX852043 FKT852036:FKT852043 FUP852036:FUP852043 GEL852036:GEL852043 GOH852036:GOH852043 GYD852036:GYD852043 HHZ852036:HHZ852043 HRV852036:HRV852043 IBR852036:IBR852043 ILN852036:ILN852043 IVJ852036:IVJ852043 JFF852036:JFF852043 JPB852036:JPB852043 JYX852036:JYX852043 KIT852036:KIT852043 KSP852036:KSP852043 LCL852036:LCL852043 LMH852036:LMH852043 LWD852036:LWD852043 MFZ852036:MFZ852043 MPV852036:MPV852043 MZR852036:MZR852043 NJN852036:NJN852043 NTJ852036:NTJ852043 ODF852036:ODF852043 ONB852036:ONB852043 OWX852036:OWX852043 PGT852036:PGT852043 PQP852036:PQP852043 QAL852036:QAL852043 QKH852036:QKH852043 QUD852036:QUD852043 RDZ852036:RDZ852043 RNV852036:RNV852043 RXR852036:RXR852043 SHN852036:SHN852043 SRJ852036:SRJ852043 TBF852036:TBF852043 TLB852036:TLB852043 TUX852036:TUX852043 UET852036:UET852043 UOP852036:UOP852043 UYL852036:UYL852043 VIH852036:VIH852043 VSD852036:VSD852043 WBZ852036:WBZ852043 WLV852036:WLV852043 WVR852036:WVR852043 J917572:J917579 JF917572:JF917579 TB917572:TB917579 ACX917572:ACX917579 AMT917572:AMT917579 AWP917572:AWP917579 BGL917572:BGL917579 BQH917572:BQH917579 CAD917572:CAD917579 CJZ917572:CJZ917579 CTV917572:CTV917579 DDR917572:DDR917579 DNN917572:DNN917579 DXJ917572:DXJ917579 EHF917572:EHF917579 ERB917572:ERB917579 FAX917572:FAX917579 FKT917572:FKT917579 FUP917572:FUP917579 GEL917572:GEL917579 GOH917572:GOH917579 GYD917572:GYD917579 HHZ917572:HHZ917579 HRV917572:HRV917579 IBR917572:IBR917579 ILN917572:ILN917579 IVJ917572:IVJ917579 JFF917572:JFF917579 JPB917572:JPB917579 JYX917572:JYX917579 KIT917572:KIT917579 KSP917572:KSP917579 LCL917572:LCL917579 LMH917572:LMH917579 LWD917572:LWD917579 MFZ917572:MFZ917579 MPV917572:MPV917579 MZR917572:MZR917579 NJN917572:NJN917579 NTJ917572:NTJ917579 ODF917572:ODF917579 ONB917572:ONB917579 OWX917572:OWX917579 PGT917572:PGT917579 PQP917572:PQP917579 QAL917572:QAL917579 QKH917572:QKH917579 QUD917572:QUD917579 RDZ917572:RDZ917579 RNV917572:RNV917579 RXR917572:RXR917579 SHN917572:SHN917579 SRJ917572:SRJ917579 TBF917572:TBF917579 TLB917572:TLB917579 TUX917572:TUX917579 UET917572:UET917579 UOP917572:UOP917579 UYL917572:UYL917579 VIH917572:VIH917579 VSD917572:VSD917579 WBZ917572:WBZ917579 WLV917572:WLV917579 WVR917572:WVR917579 J983108:J983115 JF983108:JF983115 TB983108:TB983115 ACX983108:ACX983115 AMT983108:AMT983115 AWP983108:AWP983115 BGL983108:BGL983115 BQH983108:BQH983115 CAD983108:CAD983115 CJZ983108:CJZ983115 CTV983108:CTV983115 DDR983108:DDR983115 DNN983108:DNN983115 DXJ983108:DXJ983115 EHF983108:EHF983115 ERB983108:ERB983115 FAX983108:FAX983115 FKT983108:FKT983115 FUP983108:FUP983115 GEL983108:GEL983115 GOH983108:GOH983115 GYD983108:GYD983115 HHZ983108:HHZ983115 HRV983108:HRV983115 IBR983108:IBR983115 ILN983108:ILN983115 IVJ983108:IVJ983115 JFF983108:JFF983115 JPB983108:JPB983115 JYX983108:JYX983115 KIT983108:KIT983115 KSP983108:KSP983115 LCL983108:LCL983115 LMH983108:LMH983115 LWD983108:LWD983115 MFZ983108:MFZ983115 MPV983108:MPV983115 MZR983108:MZR983115 NJN983108:NJN983115 NTJ983108:NTJ983115 ODF983108:ODF983115 ONB983108:ONB983115 OWX983108:OWX983115 PGT983108:PGT983115 PQP983108:PQP983115 QAL983108:QAL983115 QKH983108:QKH983115 QUD983108:QUD983115 RDZ983108:RDZ983115 RNV983108:RNV983115 RXR983108:RXR983115 SHN983108:SHN983115 SRJ983108:SRJ983115 TBF983108:TBF983115 TLB983108:TLB983115 TUX983108:TUX983115 UET983108:UET983115 UOP983108:UOP983115 UYL983108:UYL983115 VIH983108:VIH983115 VSD983108:VSD983115 WBZ983108:WBZ983115 WLV983108:WLV983115 WVR983108:WVR983115">
      <formula1>$K$6:$K$7</formula1>
    </dataValidation>
    <dataValidation type="decimal" allowBlank="1" showInputMessage="1" showErrorMessage="1" prompt="&quot;z&quot; is the height in structure at point of attachment of component.  For items at or below base, z = 0.  For items at or above roof, z = h." sqref="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formula1>0</formula1>
      <formula2>$C$13</formula2>
    </dataValidation>
    <dataValidation type="decimal" operator="greaterThanOrEqual" allowBlank="1" showInputMessage="1" showErrorMessage="1" prompt="&quot;Wp&quot; is the Component operating weight."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formula1>0</formula1>
    </dataValidation>
    <dataValidation type="list" allowBlank="1" showInputMessage="1" showErrorMessage="1" prompt="When soil properties are not known in sufficient detail to determine the site class, Site Class D shall be used unless the building official determines that Class E or F soil is likely to be present at the site."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formula1>$K$10:$K$15</formula1>
    </dataValidation>
    <dataValidation type="decimal" operator="greaterThan" allowBlank="1" showInputMessage="1" showErrorMessage="1" error="Max. height MUST BE &lt;= 240 ft." prompt="'h' is the structure height above the base to the highest level of the structure." sqref="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formula1>0</formula1>
    </dataValidation>
    <dataValidation type="list" allowBlank="1" showInputMessage="1" showErrorMessage="1" prompt="Selections for Structural System are from ASCE 7-05 Table 13.6-1, on page 149." sqref="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formula1>$K$18:$K$44</formula1>
    </dataValidation>
    <dataValidation allowBlank="1" showInputMessage="1" showErrorMessage="1" prompt="Location Zip Code can be used to determine Design Spectral Response Acceleration values, Ss and S1.  An earthquake Ground Motion Parameters Calculator may be used from the USGS website at: _x000a_http://earthquake.usgs.gov/designmaps/us/application.php" sqref="C10"/>
    <dataValidation allowBlank="1" showInputMessage="1" showErrorMessage="1" prompt="The 0.2 Sec. Mapped Spectral Response Acceleration value, Ss, can be determined either from ASCE 7-10 Figures 22-1 through 22-11, or by using the earthquake Ground Motion Parameters Calculator used from the USGS website._x000a_" sqref="C11"/>
    <dataValidation allowBlank="1" showInputMessage="1" showErrorMessage="1" prompt="The 1.0 Sec. Mapped Spectral Response Acceleration value, S1, can be determined either from ASCE 7-10 Figures 22-1 through 22-11 on, or by using the earthquake Ground Motion Parameters Calculator used from the USGS website." sqref="C12"/>
  </dataValidations>
  <hyperlinks>
    <hyperlink ref="AB9" r:id="rId1" display="http://earthquake.usgs.gov/hazards/designmaps/javacalc.php"/>
    <hyperlink ref="AB9:AG9" r:id="rId2" display="http://earthquake.usgs.gov/designmaps/us/application.php"/>
    <hyperlink ref="AB6" r:id="rId3"/>
  </hyperlinks>
  <pageMargins left="0.7" right="0.7" top="0.75" bottom="0.75" header="0.3" footer="0.3"/>
  <pageSetup scale="96" orientation="portrait" r:id="rId4"/>
  <headerFooter>
    <oddHeader>&amp;R"ASCE710E.xls" Program
Version 2.1</oddHeader>
    <oddFooter>&amp;C&amp;P of &amp;N&amp;R&amp;D  &amp;T</oddFooter>
  </headerFooter>
  <colBreaks count="1" manualBreakCount="1">
    <brk id="26" max="1048575" man="1"/>
  </colBreaks>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U18" sqref="U18"/>
    </sheetView>
  </sheetViews>
  <sheetFormatPr defaultRowHeight="12.75"/>
  <cols>
    <col min="1" max="16384" width="9.140625" style="564"/>
  </cols>
  <sheetData/>
  <sheetProtection sheet="1" objects="1" scenarios="1"/>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Doc</vt:lpstr>
      <vt:lpstr>Multi-Level Bldg.</vt:lpstr>
      <vt:lpstr>Multi-Level Bldg. (Drift)</vt:lpstr>
      <vt:lpstr>Vert. Tank or Vessel</vt:lpstr>
      <vt:lpstr>Nonbldg. Struct.</vt:lpstr>
      <vt:lpstr>Arch. Components</vt:lpstr>
      <vt:lpstr>M &amp; E Components</vt:lpstr>
      <vt:lpstr>ASCE 7-10 Maps for TL</vt:lpstr>
      <vt:lpstr>'Arch. Components'!Print_Area</vt:lpstr>
      <vt:lpstr>Doc!Print_Area</vt:lpstr>
      <vt:lpstr>'M &amp; E Components'!Print_Area</vt:lpstr>
      <vt:lpstr>'Multi-Level Bldg.'!Print_Area</vt:lpstr>
      <vt:lpstr>'Multi-Level Bldg. (Drift)'!Print_Area</vt:lpstr>
      <vt:lpstr>'Nonbldg. Struct.'!Print_Area</vt:lpstr>
      <vt:lpstr>'Vert. Tank or Vessel'!Print_Area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"ASCE710E" Program</dc:title>
  <dc:creator>Alex Tomanovich, P.E., Modified by William Fultz, P.E. &amp; David Taylor, P.E.</dc:creator>
  <cp:keywords>Alex Tomanovich, P.E.; David R. Taylor, P.E.; William Fultz, P.E.</cp:keywords>
  <dc:description>IBC 2012/ASCE 7-10 Code Seismic Analysis for Buildings, Nonbuilding Structures, and Components.</dc:description>
  <cp:lastModifiedBy>David Taylor</cp:lastModifiedBy>
  <cp:revision>1</cp:revision>
  <cp:lastPrinted>2016-08-01T12:57:59Z</cp:lastPrinted>
  <dcterms:created xsi:type="dcterms:W3CDTF">2002-05-09T11:16:39Z</dcterms:created>
  <dcterms:modified xsi:type="dcterms:W3CDTF">2016-08-01T18:27:16Z</dcterms:modified>
  <cp:category>Structural Engineering Analysis/Design</cp:category>
</cp:coreProperties>
</file>